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b2a39c64fa2c4f3/Documents/VENDRNOVA/ADANI RFP NAVNEET/PRICING/"/>
    </mc:Choice>
  </mc:AlternateContent>
  <xr:revisionPtr revIDLastSave="0" documentId="8_{1046DC62-2B89-4C85-979A-7BAA4AC3D085}" xr6:coauthVersionLast="47" xr6:coauthVersionMax="47" xr10:uidLastSave="{00000000-0000-0000-0000-000000000000}"/>
  <bookViews>
    <workbookView xWindow="-98" yWindow="-98" windowWidth="24196" windowHeight="14476" activeTab="3" xr2:uid="{00000000-000D-0000-FFFF-FFFF00000000}"/>
  </bookViews>
  <sheets>
    <sheet name="Pricing Summary" sheetId="1" r:id="rId1"/>
    <sheet name="Price Proposal" sheetId="2" r:id="rId2"/>
    <sheet name="Payment Milestones" sheetId="3" r:id="rId3"/>
    <sheet name="Pricing Discussio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9" i="4" l="1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18" i="4"/>
  <c r="A17" i="4"/>
  <c r="A16" i="4"/>
  <c r="A15" i="4"/>
  <c r="A14" i="4"/>
  <c r="A13" i="4"/>
  <c r="A12" i="4"/>
  <c r="A11" i="4"/>
  <c r="A10" i="4"/>
  <c r="A9" i="4"/>
  <c r="C11" i="3"/>
  <c r="I48" i="2"/>
  <c r="H48" i="2"/>
  <c r="G48" i="2"/>
  <c r="F48" i="2"/>
  <c r="E48" i="2"/>
  <c r="D48" i="2" s="1"/>
  <c r="C48" i="2"/>
  <c r="I47" i="2"/>
  <c r="H47" i="2"/>
  <c r="G47" i="2"/>
  <c r="F47" i="2"/>
  <c r="E47" i="2"/>
  <c r="D47" i="2" s="1"/>
  <c r="C47" i="2"/>
  <c r="I46" i="2"/>
  <c r="H46" i="2"/>
  <c r="G46" i="2"/>
  <c r="F46" i="2"/>
  <c r="D46" i="2" s="1"/>
  <c r="E46" i="2"/>
  <c r="C46" i="2"/>
  <c r="I45" i="2"/>
  <c r="H45" i="2"/>
  <c r="G45" i="2"/>
  <c r="F45" i="2"/>
  <c r="E45" i="2"/>
  <c r="D45" i="2" s="1"/>
  <c r="C45" i="2"/>
  <c r="I44" i="2"/>
  <c r="H44" i="2"/>
  <c r="G44" i="2"/>
  <c r="F44" i="2"/>
  <c r="E44" i="2"/>
  <c r="D44" i="2"/>
  <c r="B48" i="4" s="1"/>
  <c r="C44" i="2"/>
  <c r="I43" i="2"/>
  <c r="H43" i="2"/>
  <c r="G43" i="2"/>
  <c r="F43" i="2"/>
  <c r="E43" i="2"/>
  <c r="D43" i="2" s="1"/>
  <c r="C43" i="2"/>
  <c r="I42" i="2"/>
  <c r="H42" i="2"/>
  <c r="G42" i="2"/>
  <c r="F42" i="2"/>
  <c r="E42" i="2"/>
  <c r="D42" i="2"/>
  <c r="B46" i="4" s="1"/>
  <c r="C42" i="2"/>
  <c r="I41" i="2"/>
  <c r="H41" i="2"/>
  <c r="G41" i="2"/>
  <c r="F41" i="2"/>
  <c r="E41" i="2"/>
  <c r="D41" i="2" s="1"/>
  <c r="C41" i="2"/>
  <c r="I40" i="2"/>
  <c r="H40" i="2"/>
  <c r="G40" i="2"/>
  <c r="F40" i="2"/>
  <c r="E40" i="2"/>
  <c r="D40" i="2"/>
  <c r="B44" i="4" s="1"/>
  <c r="C40" i="2"/>
  <c r="I39" i="2"/>
  <c r="H39" i="2"/>
  <c r="G39" i="2"/>
  <c r="F39" i="2"/>
  <c r="E39" i="2"/>
  <c r="D39" i="2" s="1"/>
  <c r="C39" i="2"/>
  <c r="I38" i="2"/>
  <c r="H38" i="2"/>
  <c r="G38" i="2"/>
  <c r="F38" i="2"/>
  <c r="E38" i="2"/>
  <c r="D38" i="2" s="1"/>
  <c r="C38" i="2"/>
  <c r="I37" i="2"/>
  <c r="H37" i="2"/>
  <c r="G37" i="2"/>
  <c r="F37" i="2"/>
  <c r="E37" i="2"/>
  <c r="D37" i="2" s="1"/>
  <c r="C37" i="2"/>
  <c r="I36" i="2"/>
  <c r="H36" i="2"/>
  <c r="G36" i="2"/>
  <c r="G76" i="1" s="1"/>
  <c r="F36" i="2"/>
  <c r="F76" i="1" s="1"/>
  <c r="E36" i="2"/>
  <c r="C36" i="2"/>
  <c r="C76" i="1" s="1"/>
  <c r="I35" i="2"/>
  <c r="I75" i="1" s="1"/>
  <c r="H35" i="2"/>
  <c r="H75" i="1" s="1"/>
  <c r="G35" i="2"/>
  <c r="G75" i="1" s="1"/>
  <c r="F35" i="2"/>
  <c r="F75" i="1" s="1"/>
  <c r="E35" i="2"/>
  <c r="C35" i="2"/>
  <c r="C75" i="1" s="1"/>
  <c r="I34" i="2"/>
  <c r="I74" i="1" s="1"/>
  <c r="H34" i="2"/>
  <c r="H74" i="1" s="1"/>
  <c r="G34" i="2"/>
  <c r="G74" i="1" s="1"/>
  <c r="F34" i="2"/>
  <c r="F74" i="1" s="1"/>
  <c r="E34" i="2"/>
  <c r="E74" i="1" s="1"/>
  <c r="D34" i="2"/>
  <c r="C34" i="2"/>
  <c r="C74" i="1" s="1"/>
  <c r="I33" i="2"/>
  <c r="I73" i="1" s="1"/>
  <c r="H33" i="2"/>
  <c r="H73" i="1" s="1"/>
  <c r="G33" i="2"/>
  <c r="G73" i="1" s="1"/>
  <c r="F33" i="2"/>
  <c r="F73" i="1" s="1"/>
  <c r="E33" i="2"/>
  <c r="C33" i="2"/>
  <c r="C73" i="1" s="1"/>
  <c r="I32" i="2"/>
  <c r="I72" i="1" s="1"/>
  <c r="H32" i="2"/>
  <c r="H72" i="1" s="1"/>
  <c r="G32" i="2"/>
  <c r="G72" i="1" s="1"/>
  <c r="F32" i="2"/>
  <c r="F72" i="1" s="1"/>
  <c r="E32" i="2"/>
  <c r="C32" i="2"/>
  <c r="C72" i="1" s="1"/>
  <c r="I31" i="2"/>
  <c r="I71" i="1" s="1"/>
  <c r="H31" i="2"/>
  <c r="H71" i="1" s="1"/>
  <c r="G31" i="2"/>
  <c r="G71" i="1" s="1"/>
  <c r="F31" i="2"/>
  <c r="F71" i="1" s="1"/>
  <c r="E31" i="2"/>
  <c r="E71" i="1" s="1"/>
  <c r="D31" i="2"/>
  <c r="C31" i="2"/>
  <c r="C71" i="1" s="1"/>
  <c r="I30" i="2"/>
  <c r="I70" i="1" s="1"/>
  <c r="H30" i="2"/>
  <c r="H70" i="1" s="1"/>
  <c r="G30" i="2"/>
  <c r="G70" i="1" s="1"/>
  <c r="F30" i="2"/>
  <c r="F70" i="1" s="1"/>
  <c r="E30" i="2"/>
  <c r="E70" i="1" s="1"/>
  <c r="D30" i="2"/>
  <c r="C30" i="2"/>
  <c r="C70" i="1" s="1"/>
  <c r="I29" i="2"/>
  <c r="I69" i="1" s="1"/>
  <c r="H29" i="2"/>
  <c r="H69" i="1" s="1"/>
  <c r="G29" i="2"/>
  <c r="G69" i="1" s="1"/>
  <c r="F29" i="2"/>
  <c r="F69" i="1" s="1"/>
  <c r="E29" i="2"/>
  <c r="C29" i="2"/>
  <c r="C69" i="1" s="1"/>
  <c r="I28" i="2"/>
  <c r="I68" i="1" s="1"/>
  <c r="H28" i="2"/>
  <c r="H68" i="1" s="1"/>
  <c r="G28" i="2"/>
  <c r="G68" i="1" s="1"/>
  <c r="F28" i="2"/>
  <c r="F68" i="1" s="1"/>
  <c r="E28" i="2"/>
  <c r="E68" i="1" s="1"/>
  <c r="D28" i="2"/>
  <c r="C28" i="2"/>
  <c r="C68" i="1" s="1"/>
  <c r="I27" i="2"/>
  <c r="I67" i="1" s="1"/>
  <c r="H27" i="2"/>
  <c r="H67" i="1" s="1"/>
  <c r="G27" i="2"/>
  <c r="G67" i="1" s="1"/>
  <c r="F27" i="2"/>
  <c r="E27" i="2"/>
  <c r="E67" i="1" s="1"/>
  <c r="C27" i="2"/>
  <c r="C67" i="1" s="1"/>
  <c r="I26" i="2"/>
  <c r="I66" i="1" s="1"/>
  <c r="H26" i="2"/>
  <c r="H66" i="1" s="1"/>
  <c r="G26" i="2"/>
  <c r="G66" i="1" s="1"/>
  <c r="F26" i="2"/>
  <c r="F66" i="1" s="1"/>
  <c r="E26" i="2"/>
  <c r="E66" i="1" s="1"/>
  <c r="D26" i="2"/>
  <c r="C26" i="2"/>
  <c r="C66" i="1" s="1"/>
  <c r="I25" i="2"/>
  <c r="I65" i="1" s="1"/>
  <c r="H25" i="2"/>
  <c r="H65" i="1" s="1"/>
  <c r="G25" i="2"/>
  <c r="F25" i="2"/>
  <c r="F65" i="1" s="1"/>
  <c r="E25" i="2"/>
  <c r="E65" i="1" s="1"/>
  <c r="C25" i="2"/>
  <c r="C65" i="1" s="1"/>
  <c r="I24" i="2"/>
  <c r="I64" i="1" s="1"/>
  <c r="H24" i="2"/>
  <c r="H64" i="1" s="1"/>
  <c r="G24" i="2"/>
  <c r="G64" i="1" s="1"/>
  <c r="F24" i="2"/>
  <c r="F64" i="1" s="1"/>
  <c r="E24" i="2"/>
  <c r="E64" i="1" s="1"/>
  <c r="D24" i="2"/>
  <c r="C24" i="2"/>
  <c r="C64" i="1" s="1"/>
  <c r="I23" i="2"/>
  <c r="I63" i="1" s="1"/>
  <c r="H23" i="2"/>
  <c r="H63" i="1" s="1"/>
  <c r="G23" i="2"/>
  <c r="G63" i="1" s="1"/>
  <c r="F23" i="2"/>
  <c r="F63" i="1" s="1"/>
  <c r="E23" i="2"/>
  <c r="E63" i="1" s="1"/>
  <c r="D23" i="2"/>
  <c r="C23" i="2"/>
  <c r="C63" i="1" s="1"/>
  <c r="I22" i="2"/>
  <c r="I62" i="1" s="1"/>
  <c r="H22" i="2"/>
  <c r="H62" i="1" s="1"/>
  <c r="G22" i="2"/>
  <c r="G62" i="1" s="1"/>
  <c r="F22" i="2"/>
  <c r="F62" i="1" s="1"/>
  <c r="E22" i="2"/>
  <c r="E62" i="1" s="1"/>
  <c r="D22" i="2"/>
  <c r="C22" i="2"/>
  <c r="C62" i="1" s="1"/>
  <c r="I21" i="2"/>
  <c r="I61" i="1" s="1"/>
  <c r="H21" i="2"/>
  <c r="H61" i="1" s="1"/>
  <c r="G21" i="2"/>
  <c r="G61" i="1" s="1"/>
  <c r="F21" i="2"/>
  <c r="F61" i="1" s="1"/>
  <c r="E21" i="2"/>
  <c r="E61" i="1" s="1"/>
  <c r="D21" i="2"/>
  <c r="C21" i="2"/>
  <c r="C61" i="1" s="1"/>
  <c r="I20" i="2"/>
  <c r="I60" i="1" s="1"/>
  <c r="H20" i="2"/>
  <c r="H60" i="1" s="1"/>
  <c r="G20" i="2"/>
  <c r="G60" i="1" s="1"/>
  <c r="F20" i="2"/>
  <c r="F60" i="1" s="1"/>
  <c r="E20" i="2"/>
  <c r="E60" i="1" s="1"/>
  <c r="D20" i="2"/>
  <c r="C20" i="2"/>
  <c r="C60" i="1" s="1"/>
  <c r="I19" i="2"/>
  <c r="I59" i="1" s="1"/>
  <c r="H19" i="2"/>
  <c r="H59" i="1" s="1"/>
  <c r="G19" i="2"/>
  <c r="G59" i="1" s="1"/>
  <c r="F19" i="2"/>
  <c r="F59" i="1" s="1"/>
  <c r="E19" i="2"/>
  <c r="E59" i="1" s="1"/>
  <c r="D19" i="2"/>
  <c r="C19" i="2"/>
  <c r="C59" i="1" s="1"/>
  <c r="I16" i="2"/>
  <c r="H16" i="2"/>
  <c r="F16" i="2"/>
  <c r="E16" i="2"/>
  <c r="I15" i="2"/>
  <c r="H15" i="2"/>
  <c r="G15" i="2"/>
  <c r="F15" i="2"/>
  <c r="E15" i="2"/>
  <c r="D12" i="2"/>
  <c r="D11" i="2"/>
  <c r="D10" i="2"/>
  <c r="D9" i="2"/>
  <c r="D8" i="2"/>
  <c r="D7" i="2"/>
  <c r="D6" i="2"/>
  <c r="D5" i="2"/>
  <c r="B95" i="1"/>
  <c r="I89" i="1"/>
  <c r="H89" i="1"/>
  <c r="F89" i="1"/>
  <c r="E89" i="1"/>
  <c r="I88" i="1"/>
  <c r="H88" i="1"/>
  <c r="G88" i="1"/>
  <c r="F88" i="1"/>
  <c r="E88" i="1"/>
  <c r="C88" i="1"/>
  <c r="B88" i="1"/>
  <c r="A88" i="1"/>
  <c r="I87" i="1"/>
  <c r="H87" i="1"/>
  <c r="G87" i="1"/>
  <c r="F87" i="1"/>
  <c r="E87" i="1"/>
  <c r="C87" i="1"/>
  <c r="B87" i="1"/>
  <c r="A87" i="1"/>
  <c r="I86" i="1"/>
  <c r="H86" i="1"/>
  <c r="G86" i="1"/>
  <c r="F86" i="1"/>
  <c r="E86" i="1"/>
  <c r="C86" i="1"/>
  <c r="B86" i="1"/>
  <c r="A86" i="1"/>
  <c r="I85" i="1"/>
  <c r="H85" i="1"/>
  <c r="G85" i="1"/>
  <c r="F85" i="1"/>
  <c r="E85" i="1"/>
  <c r="C85" i="1"/>
  <c r="B85" i="1"/>
  <c r="A85" i="1"/>
  <c r="I84" i="1"/>
  <c r="H84" i="1"/>
  <c r="G84" i="1"/>
  <c r="F84" i="1"/>
  <c r="E84" i="1"/>
  <c r="D84" i="1"/>
  <c r="C84" i="1"/>
  <c r="B84" i="1"/>
  <c r="A84" i="1"/>
  <c r="I83" i="1"/>
  <c r="H83" i="1"/>
  <c r="G83" i="1"/>
  <c r="F83" i="1"/>
  <c r="E83" i="1"/>
  <c r="C83" i="1"/>
  <c r="B83" i="1"/>
  <c r="A83" i="1"/>
  <c r="I82" i="1"/>
  <c r="H82" i="1"/>
  <c r="G82" i="1"/>
  <c r="F82" i="1"/>
  <c r="E82" i="1"/>
  <c r="D82" i="1"/>
  <c r="C82" i="1"/>
  <c r="B82" i="1"/>
  <c r="A82" i="1"/>
  <c r="I81" i="1"/>
  <c r="H81" i="1"/>
  <c r="G81" i="1"/>
  <c r="F81" i="1"/>
  <c r="E81" i="1"/>
  <c r="C81" i="1"/>
  <c r="B81" i="1"/>
  <c r="A81" i="1"/>
  <c r="I80" i="1"/>
  <c r="H80" i="1"/>
  <c r="G80" i="1"/>
  <c r="F80" i="1"/>
  <c r="E80" i="1"/>
  <c r="D80" i="1"/>
  <c r="C80" i="1"/>
  <c r="B80" i="1"/>
  <c r="A80" i="1"/>
  <c r="I79" i="1"/>
  <c r="H79" i="1"/>
  <c r="G79" i="1"/>
  <c r="F79" i="1"/>
  <c r="E79" i="1"/>
  <c r="C79" i="1"/>
  <c r="B79" i="1"/>
  <c r="A79" i="1"/>
  <c r="I78" i="1"/>
  <c r="H78" i="1"/>
  <c r="G78" i="1"/>
  <c r="F78" i="1"/>
  <c r="E78" i="1"/>
  <c r="C78" i="1"/>
  <c r="B78" i="1"/>
  <c r="A78" i="1"/>
  <c r="I77" i="1"/>
  <c r="H77" i="1"/>
  <c r="G77" i="1"/>
  <c r="F77" i="1"/>
  <c r="E77" i="1"/>
  <c r="C77" i="1"/>
  <c r="B77" i="1"/>
  <c r="A77" i="1"/>
  <c r="I76" i="1"/>
  <c r="H76" i="1"/>
  <c r="B76" i="1"/>
  <c r="A76" i="1"/>
  <c r="B75" i="1"/>
  <c r="A75" i="1"/>
  <c r="B74" i="1"/>
  <c r="A74" i="1"/>
  <c r="B73" i="1"/>
  <c r="A73" i="1"/>
  <c r="B72" i="1"/>
  <c r="A72" i="1"/>
  <c r="B71" i="1"/>
  <c r="A71" i="1"/>
  <c r="B70" i="1"/>
  <c r="A70" i="1"/>
  <c r="B69" i="1"/>
  <c r="A69" i="1"/>
  <c r="B68" i="1"/>
  <c r="A68" i="1"/>
  <c r="B67" i="1"/>
  <c r="A67" i="1"/>
  <c r="B66" i="1"/>
  <c r="A66" i="1"/>
  <c r="B65" i="1"/>
  <c r="A65" i="1"/>
  <c r="B64" i="1"/>
  <c r="A64" i="1"/>
  <c r="B63" i="1"/>
  <c r="A63" i="1"/>
  <c r="B62" i="1"/>
  <c r="A62" i="1"/>
  <c r="B61" i="1"/>
  <c r="A61" i="1"/>
  <c r="B60" i="1"/>
  <c r="A60" i="1"/>
  <c r="B59" i="1"/>
  <c r="A59" i="1"/>
  <c r="D54" i="1"/>
  <c r="C54" i="1"/>
  <c r="B54" i="1"/>
  <c r="A54" i="1"/>
  <c r="D53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B47" i="1"/>
  <c r="A47" i="1"/>
  <c r="C46" i="1"/>
  <c r="B46" i="1"/>
  <c r="A46" i="1"/>
  <c r="C45" i="1"/>
  <c r="B45" i="1"/>
  <c r="A45" i="1"/>
  <c r="F24" i="1"/>
  <c r="E24" i="1"/>
  <c r="D24" i="1"/>
  <c r="C24" i="1"/>
  <c r="B24" i="1"/>
  <c r="F23" i="1"/>
  <c r="G23" i="1" s="1"/>
  <c r="E23" i="1"/>
  <c r="D23" i="1"/>
  <c r="C23" i="1"/>
  <c r="B23" i="1"/>
  <c r="F22" i="1"/>
  <c r="E22" i="1"/>
  <c r="D22" i="1"/>
  <c r="C22" i="1"/>
  <c r="B22" i="1"/>
  <c r="F21" i="1"/>
  <c r="E21" i="1"/>
  <c r="D21" i="1"/>
  <c r="C21" i="1"/>
  <c r="B21" i="1"/>
  <c r="G21" i="1" s="1"/>
  <c r="F6" i="1" s="1"/>
  <c r="F11" i="1"/>
  <c r="E11" i="1"/>
  <c r="D11" i="1"/>
  <c r="C11" i="1"/>
  <c r="B11" i="1"/>
  <c r="G11" i="1" s="1"/>
  <c r="B80" i="4" l="1"/>
  <c r="E79" i="4"/>
  <c r="D79" i="4"/>
  <c r="C79" i="4"/>
  <c r="B52" i="4"/>
  <c r="D88" i="1"/>
  <c r="B51" i="4"/>
  <c r="D87" i="1"/>
  <c r="B50" i="4"/>
  <c r="D86" i="1"/>
  <c r="B49" i="4"/>
  <c r="D85" i="1"/>
  <c r="C48" i="4"/>
  <c r="D48" i="4"/>
  <c r="E48" i="4"/>
  <c r="B47" i="4"/>
  <c r="D83" i="1"/>
  <c r="C46" i="4"/>
  <c r="D46" i="4"/>
  <c r="E46" i="4"/>
  <c r="B45" i="4"/>
  <c r="D81" i="1"/>
  <c r="C44" i="4"/>
  <c r="D44" i="4"/>
  <c r="E44" i="4"/>
  <c r="B43" i="4"/>
  <c r="D79" i="1"/>
  <c r="B42" i="4"/>
  <c r="D78" i="1"/>
  <c r="B41" i="4"/>
  <c r="D77" i="1"/>
  <c r="E76" i="1"/>
  <c r="D36" i="2"/>
  <c r="E75" i="1"/>
  <c r="D35" i="2"/>
  <c r="B38" i="4"/>
  <c r="D74" i="1"/>
  <c r="E73" i="1"/>
  <c r="D33" i="2"/>
  <c r="E72" i="1"/>
  <c r="D32" i="2"/>
  <c r="B35" i="4"/>
  <c r="D71" i="1"/>
  <c r="B34" i="4"/>
  <c r="D70" i="1"/>
  <c r="E69" i="1"/>
  <c r="D29" i="2"/>
  <c r="B32" i="4"/>
  <c r="D68" i="1"/>
  <c r="F67" i="1"/>
  <c r="D27" i="2"/>
  <c r="D66" i="1"/>
  <c r="B30" i="4"/>
  <c r="G65" i="1"/>
  <c r="D25" i="2"/>
  <c r="G16" i="2"/>
  <c r="G49" i="2" s="1"/>
  <c r="D64" i="1"/>
  <c r="B28" i="4"/>
  <c r="D63" i="1"/>
  <c r="B27" i="4"/>
  <c r="D62" i="1"/>
  <c r="B26" i="4"/>
  <c r="D61" i="1"/>
  <c r="B25" i="4"/>
  <c r="D60" i="1"/>
  <c r="B24" i="4"/>
  <c r="D59" i="1"/>
  <c r="B23" i="4"/>
  <c r="D24" i="3"/>
  <c r="F30" i="3" s="1"/>
  <c r="F31" i="3" s="1"/>
  <c r="B70" i="4"/>
  <c r="F13" i="1"/>
  <c r="F16" i="1" s="1"/>
  <c r="D23" i="3"/>
  <c r="E30" i="3" s="1"/>
  <c r="E31" i="3" s="1"/>
  <c r="E13" i="1"/>
  <c r="E16" i="1" s="1"/>
  <c r="B69" i="4"/>
  <c r="C13" i="1"/>
  <c r="C16" i="1" s="1"/>
  <c r="B67" i="4"/>
  <c r="D21" i="3"/>
  <c r="C30" i="3" s="1"/>
  <c r="B13" i="1"/>
  <c r="D20" i="3"/>
  <c r="B66" i="4"/>
  <c r="I49" i="2"/>
  <c r="F10" i="1"/>
  <c r="B63" i="4"/>
  <c r="H49" i="2"/>
  <c r="E10" i="1"/>
  <c r="B62" i="4"/>
  <c r="D16" i="3"/>
  <c r="D29" i="3" s="1"/>
  <c r="D10" i="1"/>
  <c r="B61" i="4"/>
  <c r="F49" i="2"/>
  <c r="C10" i="1"/>
  <c r="D15" i="3"/>
  <c r="C29" i="3" s="1"/>
  <c r="C31" i="3" s="1"/>
  <c r="B60" i="4"/>
  <c r="B59" i="4"/>
  <c r="E49" i="2"/>
  <c r="B10" i="1"/>
  <c r="D14" i="3"/>
  <c r="D52" i="1"/>
  <c r="B16" i="4"/>
  <c r="D51" i="1"/>
  <c r="B15" i="4"/>
  <c r="B14" i="4"/>
  <c r="D50" i="1"/>
  <c r="B13" i="4"/>
  <c r="D49" i="1"/>
  <c r="D48" i="1"/>
  <c r="B12" i="4"/>
  <c r="D47" i="1"/>
  <c r="B11" i="4"/>
  <c r="D46" i="1"/>
  <c r="B10" i="4"/>
  <c r="D45" i="1"/>
  <c r="B9" i="4"/>
  <c r="D10" i="3"/>
  <c r="D15" i="2"/>
  <c r="D9" i="3"/>
  <c r="D8" i="3"/>
  <c r="D7" i="3"/>
  <c r="D6" i="3"/>
  <c r="D5" i="3"/>
  <c r="D11" i="3" s="1"/>
  <c r="C80" i="4" l="1"/>
  <c r="D80" i="4"/>
  <c r="E80" i="4"/>
  <c r="C52" i="4"/>
  <c r="D52" i="4"/>
  <c r="E52" i="4"/>
  <c r="C51" i="4"/>
  <c r="D51" i="4"/>
  <c r="E51" i="4"/>
  <c r="C50" i="4"/>
  <c r="D50" i="4"/>
  <c r="E50" i="4"/>
  <c r="C49" i="4"/>
  <c r="D49" i="4"/>
  <c r="E49" i="4"/>
  <c r="C47" i="4"/>
  <c r="D47" i="4"/>
  <c r="E47" i="4"/>
  <c r="C45" i="4"/>
  <c r="D45" i="4"/>
  <c r="E45" i="4"/>
  <c r="C43" i="4"/>
  <c r="D43" i="4"/>
  <c r="E43" i="4"/>
  <c r="C42" i="4"/>
  <c r="D42" i="4"/>
  <c r="E42" i="4"/>
  <c r="C41" i="4"/>
  <c r="D41" i="4"/>
  <c r="E41" i="4"/>
  <c r="D76" i="1"/>
  <c r="B40" i="4"/>
  <c r="B39" i="4"/>
  <c r="D75" i="1"/>
  <c r="C38" i="4"/>
  <c r="D38" i="4"/>
  <c r="E38" i="4"/>
  <c r="B37" i="4"/>
  <c r="D73" i="1"/>
  <c r="D72" i="1"/>
  <c r="B36" i="4"/>
  <c r="C35" i="4"/>
  <c r="D35" i="4"/>
  <c r="E35" i="4"/>
  <c r="C34" i="4"/>
  <c r="D34" i="4"/>
  <c r="E34" i="4"/>
  <c r="D69" i="1"/>
  <c r="B33" i="4"/>
  <c r="C32" i="4"/>
  <c r="D32" i="4"/>
  <c r="E32" i="4"/>
  <c r="B31" i="4"/>
  <c r="D67" i="1"/>
  <c r="C30" i="4"/>
  <c r="D30" i="4"/>
  <c r="E30" i="4"/>
  <c r="B29" i="4"/>
  <c r="D16" i="2"/>
  <c r="D65" i="1"/>
  <c r="D13" i="1"/>
  <c r="D16" i="1" s="1"/>
  <c r="D22" i="3"/>
  <c r="D30" i="3" s="1"/>
  <c r="D31" i="3" s="1"/>
  <c r="B68" i="4"/>
  <c r="G89" i="1"/>
  <c r="C28" i="4"/>
  <c r="D28" i="4"/>
  <c r="E28" i="4"/>
  <c r="C27" i="4"/>
  <c r="D27" i="4"/>
  <c r="E27" i="4"/>
  <c r="C26" i="4"/>
  <c r="D26" i="4"/>
  <c r="E26" i="4"/>
  <c r="C25" i="4"/>
  <c r="D25" i="4"/>
  <c r="E25" i="4"/>
  <c r="C24" i="4"/>
  <c r="D24" i="4"/>
  <c r="E24" i="4"/>
  <c r="C23" i="4"/>
  <c r="D23" i="4"/>
  <c r="E23" i="4"/>
  <c r="C70" i="4"/>
  <c r="D70" i="4"/>
  <c r="E70" i="4"/>
  <c r="C69" i="4"/>
  <c r="D69" i="4"/>
  <c r="E69" i="4"/>
  <c r="C67" i="4"/>
  <c r="D67" i="4"/>
  <c r="E67" i="4"/>
  <c r="G13" i="1"/>
  <c r="B16" i="1"/>
  <c r="G16" i="1" s="1"/>
  <c r="D25" i="3"/>
  <c r="B30" i="3"/>
  <c r="G30" i="3" s="1"/>
  <c r="C66" i="4"/>
  <c r="D66" i="4"/>
  <c r="E66" i="4"/>
  <c r="I50" i="2"/>
  <c r="I91" i="1" s="1"/>
  <c r="B77" i="4"/>
  <c r="I90" i="1"/>
  <c r="F12" i="1"/>
  <c r="F14" i="1"/>
  <c r="F17" i="1" s="1"/>
  <c r="F15" i="1"/>
  <c r="C63" i="4"/>
  <c r="D63" i="4"/>
  <c r="E63" i="4"/>
  <c r="H50" i="2"/>
  <c r="H91" i="1" s="1"/>
  <c r="B76" i="4"/>
  <c r="H90" i="1"/>
  <c r="E12" i="1"/>
  <c r="E14" i="1"/>
  <c r="E17" i="1" s="1"/>
  <c r="E15" i="1"/>
  <c r="C62" i="4"/>
  <c r="D62" i="4"/>
  <c r="E62" i="4"/>
  <c r="G50" i="2"/>
  <c r="G91" i="1" s="1"/>
  <c r="B75" i="4"/>
  <c r="G90" i="1"/>
  <c r="D14" i="1"/>
  <c r="D17" i="1" s="1"/>
  <c r="D12" i="1"/>
  <c r="D15" i="1"/>
  <c r="C61" i="4"/>
  <c r="D61" i="4"/>
  <c r="E61" i="4"/>
  <c r="F50" i="2"/>
  <c r="F91" i="1" s="1"/>
  <c r="B74" i="4"/>
  <c r="F90" i="1"/>
  <c r="C12" i="1"/>
  <c r="C14" i="1"/>
  <c r="C17" i="1" s="1"/>
  <c r="C15" i="1"/>
  <c r="C60" i="4"/>
  <c r="D60" i="4"/>
  <c r="E60" i="4"/>
  <c r="C59" i="4"/>
  <c r="D59" i="4"/>
  <c r="E59" i="4"/>
  <c r="E50" i="2"/>
  <c r="E91" i="1" s="1"/>
  <c r="B73" i="4"/>
  <c r="E90" i="1"/>
  <c r="B14" i="1"/>
  <c r="B15" i="1"/>
  <c r="G15" i="1" s="1"/>
  <c r="G10" i="1"/>
  <c r="B12" i="1"/>
  <c r="G12" i="1" s="1"/>
  <c r="D17" i="3"/>
  <c r="F96" i="1" s="1"/>
  <c r="B29" i="3"/>
  <c r="G29" i="3" s="1"/>
  <c r="C16" i="4"/>
  <c r="D16" i="4"/>
  <c r="E16" i="4"/>
  <c r="C15" i="4"/>
  <c r="D15" i="4"/>
  <c r="E15" i="4"/>
  <c r="C14" i="4"/>
  <c r="D14" i="4"/>
  <c r="E14" i="4"/>
  <c r="C13" i="4"/>
  <c r="D13" i="4"/>
  <c r="E13" i="4"/>
  <c r="C12" i="4"/>
  <c r="D12" i="4"/>
  <c r="E12" i="4"/>
  <c r="C11" i="4"/>
  <c r="D11" i="4"/>
  <c r="E11" i="4"/>
  <c r="C10" i="4"/>
  <c r="D10" i="4"/>
  <c r="E10" i="4"/>
  <c r="C9" i="4"/>
  <c r="D9" i="4"/>
  <c r="E9" i="4"/>
  <c r="B19" i="4"/>
  <c r="B6" i="1"/>
  <c r="D55" i="1"/>
  <c r="D49" i="2"/>
  <c r="E11" i="3"/>
  <c r="E17" i="3"/>
  <c r="B28" i="3"/>
  <c r="F95" i="1"/>
  <c r="B53" i="4" l="1"/>
  <c r="C40" i="4"/>
  <c r="D40" i="4"/>
  <c r="E40" i="4"/>
  <c r="C39" i="4"/>
  <c r="D39" i="4"/>
  <c r="E39" i="4"/>
  <c r="C37" i="4"/>
  <c r="D37" i="4"/>
  <c r="E37" i="4"/>
  <c r="C36" i="4"/>
  <c r="D36" i="4"/>
  <c r="E36" i="4"/>
  <c r="C33" i="4"/>
  <c r="D33" i="4"/>
  <c r="E33" i="4"/>
  <c r="C31" i="4"/>
  <c r="D31" i="4"/>
  <c r="E31" i="4"/>
  <c r="C29" i="4"/>
  <c r="D29" i="4"/>
  <c r="E29" i="4"/>
  <c r="D6" i="1"/>
  <c r="D89" i="1"/>
  <c r="C68" i="4"/>
  <c r="D68" i="4"/>
  <c r="E68" i="4"/>
  <c r="E25" i="3"/>
  <c r="F97" i="1"/>
  <c r="C77" i="4"/>
  <c r="D77" i="4"/>
  <c r="E77" i="4"/>
  <c r="C76" i="4"/>
  <c r="D76" i="4"/>
  <c r="E76" i="4"/>
  <c r="C75" i="4"/>
  <c r="D75" i="4"/>
  <c r="E75" i="4"/>
  <c r="C74" i="4"/>
  <c r="D74" i="4"/>
  <c r="E74" i="4"/>
  <c r="C73" i="4"/>
  <c r="D73" i="4"/>
  <c r="E73" i="4"/>
  <c r="G14" i="1"/>
  <c r="B17" i="1"/>
  <c r="B91" i="4"/>
  <c r="D50" i="2"/>
  <c r="D91" i="1" s="1"/>
  <c r="D90" i="1"/>
  <c r="A6" i="1"/>
  <c r="G28" i="3"/>
  <c r="G31" i="3" s="1"/>
  <c r="B31" i="3"/>
  <c r="F98" i="1"/>
  <c r="G96" i="1" s="1"/>
  <c r="G95" i="1"/>
  <c r="C19" i="4"/>
  <c r="D19" i="4"/>
  <c r="E19" i="4"/>
  <c r="E55" i="1"/>
  <c r="B92" i="4" l="1"/>
  <c r="B55" i="4"/>
  <c r="E53" i="4"/>
  <c r="D53" i="4"/>
  <c r="F18" i="1"/>
  <c r="G18" i="1" s="1"/>
  <c r="G17" i="1"/>
  <c r="B18" i="1"/>
  <c r="C18" i="1"/>
  <c r="D18" i="1"/>
  <c r="E18" i="1"/>
  <c r="C91" i="4"/>
  <c r="D91" i="4"/>
  <c r="E91" i="4"/>
  <c r="C53" i="4"/>
  <c r="G97" i="1"/>
  <c r="G98" i="1" s="1"/>
  <c r="B56" i="4" l="1"/>
  <c r="B93" i="4"/>
  <c r="E92" i="4"/>
  <c r="E55" i="4"/>
  <c r="D55" i="4"/>
  <c r="D92" i="4"/>
  <c r="D56" i="4"/>
  <c r="D93" i="4"/>
  <c r="E56" i="4"/>
  <c r="E93" i="4"/>
  <c r="C92" i="4"/>
  <c r="C55" i="4"/>
  <c r="C93" i="4" l="1"/>
  <c r="C56" i="4"/>
</calcChain>
</file>

<file path=xl/sharedStrings.xml><?xml version="1.0" encoding="utf-8"?>
<sst xmlns="http://schemas.openxmlformats.org/spreadsheetml/2006/main" count="317" uniqueCount="203">
  <si>
    <t>Safal S2C: Source-to-Contract Platform</t>
  </si>
  <si>
    <t>Commercial proposal summary for Adani Group NextGen S2C  |  Submitted by Safal Softcom Pvt Ltd, Ahmedabad  |  All amounts in INR, exclusive of GST</t>
  </si>
  <si>
    <t>Total investment, 5 years (INR crore)</t>
  </si>
  <si>
    <t>Implementation (INR crore)</t>
  </si>
  <si>
    <t>Subscription (INR crore)</t>
  </si>
  <si>
    <t>Business Units covered</t>
  </si>
  <si>
    <t>1.  Five-year investment by year (INR)</t>
  </si>
  <si>
    <t>Item</t>
  </si>
  <si>
    <t>Year 1</t>
  </si>
  <si>
    <t>Year 2</t>
  </si>
  <si>
    <t>Year 3</t>
  </si>
  <si>
    <t>Year 4</t>
  </si>
  <si>
    <t>Year 5</t>
  </si>
  <si>
    <t>Total, 5 years</t>
  </si>
  <si>
    <t>Platform Implementation, Customization &amp; Configuration</t>
  </si>
  <si>
    <t xml:space="preserve">      of which: Basic Platform &amp; Customization (one time, 1st BU)</t>
  </si>
  <si>
    <t xml:space="preserve">      of which: Project governance, delivery &amp; integration resources</t>
  </si>
  <si>
    <t>Subscription Costs BU Wise (Unlimited User &amp; Usage)</t>
  </si>
  <si>
    <t>Total (Implementation + Subscription)</t>
  </si>
  <si>
    <t>Total (INR crore)</t>
  </si>
  <si>
    <t>Cumulative investment (INR crore)</t>
  </si>
  <si>
    <t>2.  Business Unit rollout and subscription</t>
  </si>
  <si>
    <t>Total</t>
  </si>
  <si>
    <t>Business Units implemented in the year</t>
  </si>
  <si>
    <t>BU 1 to 30</t>
  </si>
  <si>
    <t>Business Units on subscription (cumulative)</t>
  </si>
  <si>
    <t>Annual subscription fee per Business Unit (INR)</t>
  </si>
  <si>
    <t>5% rise from Year 4</t>
  </si>
  <si>
    <t>3.  Year-wise investment (INR crore)</t>
  </si>
  <si>
    <t>4.  Scope of implementation and services included</t>
  </si>
  <si>
    <t>Component</t>
  </si>
  <si>
    <t>Person-months</t>
  </si>
  <si>
    <t>Unit cost (INR)</t>
  </si>
  <si>
    <t>Total (INR)</t>
  </si>
  <si>
    <t>Engagement</t>
  </si>
  <si>
    <t>One time, 1st BU</t>
  </si>
  <si>
    <t>9 months</t>
  </si>
  <si>
    <t>24 months</t>
  </si>
  <si>
    <t>30 months</t>
  </si>
  <si>
    <t>Included</t>
  </si>
  <si>
    <t>Included (60 days)</t>
  </si>
  <si>
    <t>Total implementation cost</t>
  </si>
  <si>
    <t>5.  Subscription by Business Unit (INR)</t>
  </si>
  <si>
    <t>Subscription by Business Unit</t>
  </si>
  <si>
    <t>Starts in Year</t>
  </si>
  <si>
    <t>Annual fee, Years 1 to 3 (INR)</t>
  </si>
  <si>
    <t>5-year total (INR)</t>
  </si>
  <si>
    <t>Total Subscription Cost</t>
  </si>
  <si>
    <t>Total Cost (Implementation + Subscription)</t>
  </si>
  <si>
    <t>Total Cost in INR crore</t>
  </si>
  <si>
    <t>6.  Payment terms at a glance (detailed schedule on the Payment Milestones sheet)</t>
  </si>
  <si>
    <t>Basis and milestones</t>
  </si>
  <si>
    <t>Amount (INR)</t>
  </si>
  <si>
    <t>Share of total</t>
  </si>
  <si>
    <t>Basic Platform &amp; Customization (one time)</t>
  </si>
  <si>
    <t>Project governance, delivery &amp; integration resources</t>
  </si>
  <si>
    <t>Quarterly, in advance, in equal instalments over the engagement period</t>
  </si>
  <si>
    <t>Subscription (unlimited users and usage)</t>
  </si>
  <si>
    <t>Annually, in advance, at the start of each subscription year</t>
  </si>
  <si>
    <t>Total contract value (5 years, excluding GST)</t>
  </si>
  <si>
    <t>Invoice payment period: 30 days from invoice date, against the acceptance document.</t>
  </si>
  <si>
    <t>7.  Key commercial terms</t>
  </si>
  <si>
    <t>•  All prices are in Indian Rupees and are exclusive of GST and other applicable taxes, which are payable by Adani at the prevailing rate.</t>
  </si>
  <si>
    <t>•  Subscription covers 30 Business Units with unlimited users and usage. The fee per Business Unit is flat for Years 1 to 3, with a 5% increase from Year 4.</t>
  </si>
  <si>
    <t>•  UAT, SIT and go-live training, and 60 days of hypercare support from the Ahmedabad location, are included in the implementation price.</t>
  </si>
  <si>
    <t>•  Out-of-pocket expenses, if any, are billed at actuals with prior written approval and are not included in the amounts above.</t>
  </si>
  <si>
    <t>•  Business Units start subscription in the year they are implemented: 7 in Year 1, 18 in Year 2 and 5 in Year 3.</t>
  </si>
  <si>
    <t>•  Proposal validity: [CONFIRM] days from the date of submission.</t>
  </si>
  <si>
    <t>Safal Softcom Pvt Ltd, Ahmedabad, India</t>
  </si>
  <si>
    <t>Safal S2C: commercial proposal for Adani NextGen Source-to-Contract</t>
  </si>
  <si>
    <t>30 Business Units over a 5-year term. All amounts in INR, exclusive of GST and other applicable taxes.</t>
  </si>
  <si>
    <t>Qty (person-months)</t>
  </si>
  <si>
    <t>Unit Cost (INR)</t>
  </si>
  <si>
    <t>Subscription inputs</t>
  </si>
  <si>
    <t>Basic Platform &amp; Customization (One Time) for 1st BU</t>
  </si>
  <si>
    <t>-</t>
  </si>
  <si>
    <t>NA</t>
  </si>
  <si>
    <t>Annual fee per BU, Years 1 to 3 (INR)</t>
  </si>
  <si>
    <t>Project Governance &amp; Transformation PMO (External) - 3 Resources - 9 Months (27 Person Months)</t>
  </si>
  <si>
    <t>Escalation from Year 4</t>
  </si>
  <si>
    <t>SAFAL Project Managers - 3 Resources - 24 Months (72 Person Months)</t>
  </si>
  <si>
    <t>Escalation applies from year</t>
  </si>
  <si>
    <t>SAFAL Project Coordinators - 6 Resources - 24 Months (144 Person Months)</t>
  </si>
  <si>
    <t>SAP Integration - 4 Persons - 30 Months (120 Person Months)</t>
  </si>
  <si>
    <t>Ariba Integration - 1 Person - 24 Months (24 Person Months)</t>
  </si>
  <si>
    <t>Lead Architect &amp; Cloud Hosting - 1 Person - 30 Months (30 Person Months)</t>
  </si>
  <si>
    <t>Other Integrations REST APIs - 2 Persons - 30 Months (60 Person Months)</t>
  </si>
  <si>
    <t>UAT, SIT and Go-Live Training (Ahmedabad Location): included</t>
  </si>
  <si>
    <t>Hypercare Support from Ahmedabad Location (60 Days): included</t>
  </si>
  <si>
    <t>Total - Implementation Costs</t>
  </si>
  <si>
    <t>Total - Subscription Costs BU Wise (Unlimited User &amp; Usage)</t>
  </si>
  <si>
    <t>Subscription basis: annual fee per BU, 5% escalation from Year 4 (inputs at right of this block)</t>
  </si>
  <si>
    <t>Business Unit 1</t>
  </si>
  <si>
    <t>Business Unit 2</t>
  </si>
  <si>
    <t>Business Unit 3</t>
  </si>
  <si>
    <t>Business Unit 4</t>
  </si>
  <si>
    <t>Business Unit 5</t>
  </si>
  <si>
    <t>Business Unit 6</t>
  </si>
  <si>
    <t>Business Unit 7</t>
  </si>
  <si>
    <t>Business Unit 8</t>
  </si>
  <si>
    <t>Business Unit 9</t>
  </si>
  <si>
    <t>Business Unit 10</t>
  </si>
  <si>
    <t>Business Unit 11</t>
  </si>
  <si>
    <t>Business Unit 12</t>
  </si>
  <si>
    <t>Business Unit 13</t>
  </si>
  <si>
    <t>Business Unit 14</t>
  </si>
  <si>
    <t>Business Unit 15</t>
  </si>
  <si>
    <t>Business Unit 16</t>
  </si>
  <si>
    <t>Business Unit 17</t>
  </si>
  <si>
    <t>Business Unit 18</t>
  </si>
  <si>
    <t>Business Unit 19</t>
  </si>
  <si>
    <t>Business Unit 20</t>
  </si>
  <si>
    <t>Business Unit 21</t>
  </si>
  <si>
    <t>Business Unit 22</t>
  </si>
  <si>
    <t>Business Unit 23</t>
  </si>
  <si>
    <t>Business Unit 24</t>
  </si>
  <si>
    <t>Business Unit 25</t>
  </si>
  <si>
    <t>Business Unit 26</t>
  </si>
  <si>
    <t>Business Unit 27</t>
  </si>
  <si>
    <t>Business Unit 28</t>
  </si>
  <si>
    <t>Business Unit 29</t>
  </si>
  <si>
    <t>Business Unit 30</t>
  </si>
  <si>
    <t>Payment milestones and invoicing schedule</t>
  </si>
  <si>
    <t>A. Basic Platform &amp; Customization (one time, 1st BU)</t>
  </si>
  <si>
    <t>Indicative month</t>
  </si>
  <si>
    <t>% of fee</t>
  </si>
  <si>
    <t>Invoice trigger / acceptance evidence</t>
  </si>
  <si>
    <t>1. Contract signing and project mobilisation</t>
  </si>
  <si>
    <t>M1</t>
  </si>
  <si>
    <t>Signed contract / purchase order; project kick-off held</t>
  </si>
  <si>
    <t>2. Business blueprint and design sign-off</t>
  </si>
  <si>
    <t>M3</t>
  </si>
  <si>
    <t>Signed-off blueprint, fit-to-process and solution design documents</t>
  </si>
  <si>
    <t>3. Build complete and System Integration Testing (SIT) passed</t>
  </si>
  <si>
    <t>M5</t>
  </si>
  <si>
    <t>SIT exit report; zero open critical and high defects</t>
  </si>
  <si>
    <t>4. User Acceptance Testing (UAT) sign-off</t>
  </si>
  <si>
    <t>M6</t>
  </si>
  <si>
    <t>Signed UAT completion certificate from Adani</t>
  </si>
  <si>
    <t>5. Pilot go-live</t>
  </si>
  <si>
    <t>M7</t>
  </si>
  <si>
    <t>Go-live certificate; platform live in production for BU 1</t>
  </si>
  <si>
    <t>6. Hypercare completion (60 days)</t>
  </si>
  <si>
    <t>M9</t>
  </si>
  <si>
    <t>Hypercare exit report; closure of open items</t>
  </si>
  <si>
    <t>Total, Basic Platform &amp; Customization</t>
  </si>
  <si>
    <t>B. Resource-based services (PMO, project management, integration, architecture)</t>
  </si>
  <si>
    <t>Basis</t>
  </si>
  <si>
    <t>Invoicing</t>
  </si>
  <si>
    <t>Year 1 resource services</t>
  </si>
  <si>
    <t>Quarterly Advance</t>
  </si>
  <si>
    <t>4 equal quarterly invoices in advance, at the start of each quarter, against the approved resource plan</t>
  </si>
  <si>
    <t>Year 2 resource services</t>
  </si>
  <si>
    <t>4 equal quarterly invoices in advance</t>
  </si>
  <si>
    <t>Year 3 resource services</t>
  </si>
  <si>
    <t>Quarterly invoices in advance until the resource plan completes</t>
  </si>
  <si>
    <t>Total, resource-based services</t>
  </si>
  <si>
    <t>C. Subscription (unlimited users and usage)</t>
  </si>
  <si>
    <t>Year 1 subscription</t>
  </si>
  <si>
    <t>Annual in advance</t>
  </si>
  <si>
    <t>Invoiced at the start of each subscription year for the BUs starting or continuing in that year</t>
  </si>
  <si>
    <t>Year 2 subscription</t>
  </si>
  <si>
    <t>Invoiced at the start of the year; BUs entering subscription are billed from their start year</t>
  </si>
  <si>
    <t>Year 3 subscription</t>
  </si>
  <si>
    <t>Year 4 subscription</t>
  </si>
  <si>
    <t>Year 5 subscription</t>
  </si>
  <si>
    <t>Total, subscription</t>
  </si>
  <si>
    <t>Cash-out summary by year (INR)</t>
  </si>
  <si>
    <t>A. Basic Platform &amp; Customization</t>
  </si>
  <si>
    <t>B. Resource-based services</t>
  </si>
  <si>
    <t>C. Subscription</t>
  </si>
  <si>
    <t>Total invoiced</t>
  </si>
  <si>
    <t>General payment terms</t>
  </si>
  <si>
    <t>1. Invoices are payable within 30 days of the invoice date, subject to receipt of the supporting acceptance document.</t>
  </si>
  <si>
    <t>2. Milestone acceptance by Adani is deemed to be given if no written objection is raised within 10 working days of the deliverable being submitted.</t>
  </si>
  <si>
    <t>3. All amounts are exclusive of GST and other applicable taxes, which are payable by Adani at the prevailing rate on each invoice.</t>
  </si>
  <si>
    <t>4. Subscription fees for years 1 to 3 are held flat; a 5% escalation applies from year 4 as shown on the Price Proposal sheet.</t>
  </si>
  <si>
    <t>5. Out-of-pocket expenses, if any, are billed at actuals with prior written approval and are not included in the amounts above.</t>
  </si>
  <si>
    <t>6. Percentages, timing and billing frequency above are proposals for discussion and can be aligned with Adani procurement terms.</t>
  </si>
  <si>
    <t>Adani 30-BU pricing discussion</t>
  </si>
  <si>
    <t>Pricing basis</t>
  </si>
  <si>
    <t>Original Ali pricing</t>
  </si>
  <si>
    <t>Proposed +20%</t>
  </si>
  <si>
    <t>Suggested +25%</t>
  </si>
  <si>
    <t>Proposed +30%</t>
  </si>
  <si>
    <t>Uplift applied to original quoted prices</t>
  </si>
  <si>
    <t>Implementation, customization and configuration (INR)</t>
  </si>
  <si>
    <t>Total implementation (INR)</t>
  </si>
  <si>
    <t>Subscription by business unit, five-year totals (INR)</t>
  </si>
  <si>
    <t>Total subscription (INR)</t>
  </si>
  <si>
    <t>Total implementation + subscription (INR)</t>
  </si>
  <si>
    <t>Total implementation + subscription (INR crore)</t>
  </si>
  <si>
    <t>Annual implementation totals (INR)</t>
  </si>
  <si>
    <t>Annual subscription totals (INR)</t>
  </si>
  <si>
    <t>Annual combined totals (INR)</t>
  </si>
  <si>
    <t>Annual subscription per BU, Years 1–3 (INR)</t>
  </si>
  <si>
    <t>Annual subscription per BU, Years 4–5 (INR)</t>
  </si>
  <si>
    <t>The three original Ali tabs remain the unchanged baseline. The original 25-module SOW and its delivery classifications govern scope. No additional BUs or competitor line-item estimates are included. Separate infrastructure remains for Adani; the original quoted architecture/cloud-hosting line has not been expanded.</t>
  </si>
  <si>
    <t>Annual implementation reconciliation (INR)</t>
  </si>
  <si>
    <t>Annual subscription reconciliation (INR)</t>
  </si>
  <si>
    <t>Annual combined reconciliation (INR)</t>
  </si>
  <si>
    <t xml:space="preserve">Method: proportional commercial uplift across the same original implementation and subscription line items. Original quantities, scope classifications, 5% escalation from Year 4, milestone percentages and payment terms are unchanged. </t>
  </si>
  <si>
    <t>Kep the same scope and original phased rollout: 7 / 25 / 30 cumulative BUs. INR excluding GST.  Green highlights the +25% suggested discussion case.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</si>
</sst>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&quot;₹ &quot;0.00"/>
    <numFmt numFmtId="166" formatCode="[&gt;=10000000]##\,##\,##\,##0;[&gt;=100000]##\,##\,##0;##,##0"/>
    <numFmt numFmtId="167" formatCode="0;;\-"/>
    <numFmt numFmtId="168" formatCode="0.0%"/>
    <numFmt numFmtId="170" formatCode="0.000000"/>
    <numFmt numFmtId="171" formatCode="_(&quot;$&quot;* #,##0_);_(&quot;$&quot;* \(#,##0\);_(&quot;$&quot;* &quot;-&quot;_);_(@_)"/>
    <numFmt numFmtId="172" formatCode="_(* #,##0_);_(* \(#,##0\);_(* &quot;-&quot;_);_(@_)"/>
    <numFmt numFmtId="173" formatCode="_(&quot;$&quot;* #,##0.00_);_(&quot;$&quot;* \(#,##0.00\);_(&quot;$&quot;* &quot;-&quot;??_);_(@_)"/>
    <numFmt numFmtId="174" formatCode="_(* #,##0.00_);_(* \(#,##0.00\);_(* &quot;-&quot;??_);_(@_)"/>
    <numFmt numFmtId="175" formatCode="&quot;₹ &quot;0.00"/>
    <numFmt numFmtId="176" formatCode="[&gt;=10000000]##\,##\,##\,##0;[&gt;=100000]##\,##\,##0;##,##0"/>
    <numFmt numFmtId="177" formatCode="0;;\-"/>
    <numFmt numFmtId="178" formatCode="0.0%"/>
    <numFmt numFmtId="179" formatCode="0.000000"/>
    <numFmt numFmtId="180" formatCode="0%"/>
    <numFmt numFmtId="181" formatCode="0"/>
    <numFmt numFmtId="182" formatCode="0.00"/>
    <numFmt numFmtId="183" formatCode="#,##0.00"/>
  </numFmts>
  <fonts count="5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</font>
    <font>
      <b/>
      <sz val="20"/>
      <color rgb="FFFFFFFF"/>
      <name val="Aptos Display"/>
    </font>
    <font>
      <sz val="10"/>
      <color rgb="FFF2D79A"/>
      <name val="Aptos Display"/>
    </font>
    <font>
      <b/>
      <sz val="9"/>
      <color rgb="FF5A6380"/>
      <name val="Aptos Display"/>
    </font>
    <font>
      <b/>
      <sz val="22"/>
      <color rgb="FF0B1F44"/>
      <name val="Aptos Display"/>
    </font>
    <font>
      <b/>
      <sz val="11"/>
      <color rgb="FFFFFFFF"/>
      <name val="Aptos Display"/>
    </font>
    <font>
      <b/>
      <sz val="10"/>
      <color rgb="FFFFFFFF"/>
      <name val="Aptos Display"/>
    </font>
    <font>
      <b/>
      <sz val="10"/>
      <color rgb="FF000000"/>
      <name val="Aptos Display"/>
    </font>
    <font>
      <i/>
      <sz val="10"/>
      <color rgb="FF4A5068"/>
      <name val="Aptos Display"/>
    </font>
    <font>
      <sz val="10"/>
      <color rgb="FF4A5068"/>
      <name val="Aptos Display"/>
    </font>
    <font>
      <sz val="10"/>
      <color rgb="FF000000"/>
      <name val="Aptos Display"/>
    </font>
    <font>
      <sz val="9"/>
      <color rgb="FF000000"/>
      <name val="Aptos Display"/>
    </font>
    <font>
      <i/>
      <sz val="9"/>
      <color rgb="FF6B7189"/>
      <name val="Aptos Display"/>
    </font>
    <font>
      <b/>
      <sz val="16"/>
      <color rgb="FF0B1F44"/>
      <name val="Arial"/>
    </font>
    <font>
      <i/>
      <sz val="10"/>
      <color rgb="FF6B7189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FF"/>
      <name val="Arial"/>
    </font>
    <font>
      <b/>
      <sz val="10"/>
      <color rgb="FF000000"/>
      <name val="Arial"/>
    </font>
    <font>
      <sz val="9"/>
      <color rgb="FF4A5068"/>
      <name val="Arial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</font>
    <font>
      <b/>
      <sz val="20"/>
      <color rgb="FFFFFFFF"/>
      <name val="Aptos Display"/>
    </font>
    <font>
      <sz val="10"/>
      <color rgb="FFF2D79A"/>
      <name val="Aptos Display"/>
    </font>
    <font>
      <b/>
      <sz val="9"/>
      <color rgb="FF5A6380"/>
      <name val="Aptos Display"/>
    </font>
    <font>
      <b/>
      <sz val="22"/>
      <color rgb="FF0B1F44"/>
      <name val="Aptos Display"/>
    </font>
    <font>
      <b/>
      <sz val="11"/>
      <color rgb="FFFFFFFF"/>
      <name val="Aptos Display"/>
    </font>
    <font>
      <b/>
      <sz val="10"/>
      <color rgb="FFFFFFFF"/>
      <name val="Aptos Display"/>
    </font>
    <font>
      <b/>
      <sz val="10"/>
      <color rgb="FF000000"/>
      <name val="Aptos Display"/>
    </font>
    <font>
      <i/>
      <sz val="10"/>
      <color rgb="FF4A5068"/>
      <name val="Aptos Display"/>
    </font>
    <font>
      <sz val="10"/>
      <color rgb="FF4A5068"/>
      <name val="Aptos Display"/>
    </font>
    <font>
      <sz val="10"/>
      <color rgb="FF000000"/>
      <name val="Aptos Display"/>
    </font>
    <font>
      <sz val="9"/>
      <color rgb="FF000000"/>
      <name val="Aptos Display"/>
    </font>
    <font>
      <i/>
      <sz val="9"/>
      <color rgb="FF6B7189"/>
      <name val="Aptos Display"/>
    </font>
    <font>
      <b/>
      <sz val="16"/>
      <color rgb="FF0B1F44"/>
      <name val="Arial"/>
    </font>
    <font>
      <i/>
      <sz val="10"/>
      <color rgb="FF6B7189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FF"/>
      <name val="Arial"/>
    </font>
    <font>
      <b/>
      <sz val="10"/>
      <color rgb="FF000000"/>
      <name val="Arial"/>
    </font>
    <font>
      <sz val="9"/>
      <color rgb="FF4A5068"/>
      <name val="Arial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0B1F44"/>
      </patternFill>
    </fill>
    <fill>
      <patternFill patternType="solid">
        <fgColor rgb="FFB8862B"/>
      </patternFill>
    </fill>
    <fill>
      <patternFill patternType="solid">
        <fgColor rgb="FFE8ECF5"/>
      </patternFill>
    </fill>
    <fill>
      <patternFill patternType="solid">
        <fgColor rgb="FF1E3F8F"/>
      </patternFill>
    </fill>
    <fill>
      <patternFill patternType="solid">
        <fgColor rgb="FFFFFF00"/>
      </patternFill>
    </fill>
    <fill>
      <patternFill patternType="solid">
        <fgColor rgb="FFE3E8F2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rgb="FFE2F0D9"/>
      </patternFill>
    </fill>
    <fill>
      <patternFill patternType="solid">
        <fgColor rgb="FF102448"/>
      </patternFill>
    </fill>
    <fill>
      <patternFill patternType="solid">
        <fgColor rgb="FF548235"/>
      </patternFill>
    </fill>
    <fill>
      <patternFill patternType="solid">
        <fgColor rgb="FFE8EDF5"/>
      </patternFill>
    </fill>
    <fill>
      <patternFill patternType="solid">
        <fgColor theme="0" tint="-0.249977111117893"/>
        <bgColor indexed="64"/>
      </patternFill>
    </fill>
    <fill>
      <patternFill patternType="none"/>
    </fill>
    <fill>
      <patternFill patternType="gray125"/>
    </fill>
    <fill>
      <patternFill patternType="solid">
        <fgColor rgb="FF0B1F44"/>
      </patternFill>
    </fill>
    <fill>
      <patternFill patternType="solid">
        <fgColor rgb="FFB8862B"/>
      </patternFill>
    </fill>
    <fill>
      <patternFill patternType="solid">
        <fgColor rgb="FFE8ECF5"/>
      </patternFill>
    </fill>
    <fill>
      <patternFill patternType="solid">
        <fgColor rgb="FF1E3F8F"/>
      </patternFill>
    </fill>
    <fill>
      <patternFill patternType="solid">
        <fgColor rgb="FFFFFF00"/>
      </patternFill>
    </fill>
    <fill>
      <patternFill patternType="solid">
        <fgColor rgb="FFE3E8F2"/>
      </patternFill>
    </fill>
    <fill>
      <patternFill patternType="solid">
        <fgColor theme="2" tint="-0.09998"/>
      </patternFill>
    </fill>
    <fill>
      <patternFill patternType="solid">
        <fgColor rgb="FFE2F0D9"/>
      </patternFill>
    </fill>
    <fill>
      <patternFill patternType="solid">
        <fgColor rgb="FF102448"/>
      </patternFill>
    </fill>
    <fill>
      <patternFill patternType="solid">
        <fgColor rgb="FF548235"/>
      </patternFill>
    </fill>
    <fill>
      <patternFill patternType="solid">
        <fgColor rgb="FFE8EDF5"/>
      </patternFill>
    </fill>
    <fill>
      <patternFill patternType="solid">
        <fgColor theme="0" tint="-0.24998"/>
      </patternFill>
    </fill>
    <fill>
      <patternFill patternType="solid">
        <fgColor rgb="FFE2EFDA"/>
      </patternFill>
    </fill>
    <fill>
      <patternFill patternType="solid">
        <fgColor rgb="FFE7E6E6"/>
      </patternFill>
    </fill>
  </fills>
  <borders count="46">
    <border>
      <left/>
      <right/>
      <top/>
      <bottom/>
      <diagonal/>
    </border>
    <border>
      <left style="thin">
        <color rgb="FFC9D0E0"/>
      </left>
      <right style="thin">
        <color rgb="FFC9D0E0"/>
      </right>
      <top style="thin">
        <color rgb="FFC9D0E0"/>
      </top>
      <bottom style="thin">
        <color rgb="FFC9D0E0"/>
      </bottom>
      <diagonal/>
    </border>
    <border>
      <left style="thin">
        <color rgb="FFD5DAE6"/>
      </left>
      <right style="thin">
        <color rgb="FFD5DAE6"/>
      </right>
      <top style="thin">
        <color rgb="FFD5DAE6"/>
      </top>
      <bottom style="thin">
        <color rgb="FFD5DA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C9D0E0"/>
      </left>
      <right style="thin">
        <color rgb="FFC9D0E0"/>
      </right>
      <top style="thin">
        <color rgb="FFC9D0E0"/>
      </top>
      <bottom style="thin">
        <color rgb="FFC9D0E0"/>
      </bottom>
      <diagonal/>
    </border>
    <border>
      <left style="thin">
        <color rgb="FFD5DAE6"/>
      </left>
      <right style="thin">
        <color rgb="FFD5DAE6"/>
      </right>
      <top style="thin">
        <color rgb="FFD5DAE6"/>
      </top>
      <bottom style="thin">
        <color rgb="FFD5DA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2" fillId="0" borderId="0" applyBorder="0" applyAlignment="0" applyProtection="0"/>
    <xf numFmtId="41" fontId="2" fillId="0" borderId="0" applyBorder="0" applyAlignment="0" applyProtection="0"/>
    <xf numFmtId="44" fontId="2" fillId="0" borderId="0" applyBorder="0" applyAlignment="0" applyProtection="0"/>
    <xf numFmtId="42" fontId="2" fillId="0" borderId="0" applyBorder="0" applyAlignment="0" applyProtection="0"/>
    <xf numFmtId="9" fontId="2" fillId="0" borderId="0" applyBorder="0" applyAlignment="0" applyProtection="0"/>
    <xf numFmtId="0" fontId="28" fillId="14" borderId="23"/>
    <xf numFmtId="174" fontId="30" fillId="14" borderId="23" applyBorder="0" applyAlignment="0" applyProtection="0"/>
    <xf numFmtId="172" fontId="30" fillId="14" borderId="23" applyBorder="0" applyAlignment="0" applyProtection="0"/>
    <xf numFmtId="173" fontId="30" fillId="14" borderId="23" applyBorder="0" applyAlignment="0" applyProtection="0"/>
    <xf numFmtId="171" fontId="30" fillId="14" borderId="23" applyBorder="0" applyAlignment="0" applyProtection="0"/>
    <xf numFmtId="9" fontId="30" fillId="14" borderId="23" applyBorder="0" applyAlignment="0" applyProtection="0"/>
  </cellStyleXfs>
  <cellXfs count="304">
    <xf numFmtId="0" fontId="0" fillId="0" borderId="0" xfId="0"/>
    <xf numFmtId="168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vertical="center"/>
    </xf>
    <xf numFmtId="166" fontId="8" fillId="2" borderId="1" xfId="0" applyNumberFormat="1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1" fontId="6" fillId="4" borderId="0" xfId="0" applyNumberFormat="1" applyFont="1" applyFill="1" applyAlignment="1">
      <alignment horizontal="center" vertical="center"/>
    </xf>
    <xf numFmtId="165" fontId="6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vertical="center"/>
    </xf>
    <xf numFmtId="0" fontId="0" fillId="3" borderId="0" xfId="0" applyFill="1"/>
    <xf numFmtId="0" fontId="5" fillId="4" borderId="0" xfId="0" applyFont="1" applyFill="1" applyAlignment="1">
      <alignment horizontal="center" vertical="center"/>
    </xf>
    <xf numFmtId="165" fontId="6" fillId="4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0" fillId="5" borderId="0" xfId="0" applyFill="1"/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66" fontId="9" fillId="0" borderId="1" xfId="0" applyNumberFormat="1" applyFont="1" applyBorder="1" applyAlignment="1">
      <alignment vertical="center"/>
    </xf>
    <xf numFmtId="166" fontId="9" fillId="4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166" fontId="11" fillId="0" borderId="1" xfId="0" applyNumberFormat="1" applyFont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166" fontId="8" fillId="2" borderId="1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2" fontId="12" fillId="0" borderId="1" xfId="0" applyNumberFormat="1" applyFont="1" applyBorder="1" applyAlignment="1">
      <alignment vertical="center"/>
    </xf>
    <xf numFmtId="2" fontId="9" fillId="4" borderId="1" xfId="0" applyNumberFormat="1" applyFont="1" applyFill="1" applyBorder="1" applyAlignment="1">
      <alignment vertical="center"/>
    </xf>
    <xf numFmtId="2" fontId="9" fillId="0" borderId="1" xfId="0" applyNumberFormat="1" applyFont="1" applyBorder="1" applyAlignment="1">
      <alignment vertical="center"/>
    </xf>
    <xf numFmtId="167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6" fontId="12" fillId="0" borderId="1" xfId="0" applyNumberFormat="1" applyFont="1" applyBorder="1" applyAlignment="1">
      <alignment horizontal="right" vertical="center"/>
    </xf>
    <xf numFmtId="0" fontId="12" fillId="4" borderId="1" xfId="0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6" fontId="8" fillId="2" borderId="1" xfId="0" applyNumberFormat="1" applyFont="1" applyFill="1" applyBorder="1" applyAlignment="1">
      <alignment horizontal="right"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/>
    </xf>
    <xf numFmtId="0" fontId="18" fillId="2" borderId="2" xfId="0" applyFont="1" applyFill="1" applyBorder="1" applyAlignment="1">
      <alignment vertical="center"/>
    </xf>
    <xf numFmtId="0" fontId="18" fillId="0" borderId="2" xfId="0" applyFont="1" applyBorder="1" applyAlignment="1">
      <alignment vertical="center" wrapText="1"/>
    </xf>
    <xf numFmtId="1" fontId="18" fillId="0" borderId="2" xfId="0" applyNumberFormat="1" applyFont="1" applyBorder="1" applyAlignment="1">
      <alignment horizontal="center" vertical="center"/>
    </xf>
    <xf numFmtId="166" fontId="18" fillId="0" borderId="2" xfId="0" applyNumberFormat="1" applyFont="1" applyBorder="1" applyAlignment="1">
      <alignment vertical="center"/>
    </xf>
    <xf numFmtId="166" fontId="18" fillId="0" borderId="2" xfId="0" applyNumberFormat="1" applyFont="1" applyBorder="1" applyAlignment="1">
      <alignment horizontal="right" vertical="center"/>
    </xf>
    <xf numFmtId="0" fontId="18" fillId="0" borderId="2" xfId="0" applyFont="1" applyBorder="1" applyAlignment="1">
      <alignment vertical="center"/>
    </xf>
    <xf numFmtId="166" fontId="19" fillId="6" borderId="2" xfId="0" applyNumberFormat="1" applyFont="1" applyFill="1" applyBorder="1" applyAlignment="1">
      <alignment vertical="center"/>
    </xf>
    <xf numFmtId="9" fontId="19" fillId="6" borderId="2" xfId="0" applyNumberFormat="1" applyFont="1" applyFill="1" applyBorder="1" applyAlignment="1">
      <alignment vertical="center"/>
    </xf>
    <xf numFmtId="1" fontId="19" fillId="6" borderId="2" xfId="0" applyNumberFormat="1" applyFont="1" applyFill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right" vertical="center"/>
    </xf>
    <xf numFmtId="0" fontId="20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vertical="center"/>
    </xf>
    <xf numFmtId="166" fontId="20" fillId="7" borderId="2" xfId="0" applyNumberFormat="1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5" borderId="2" xfId="0" applyFont="1" applyFill="1" applyBorder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/>
    </xf>
    <xf numFmtId="166" fontId="17" fillId="2" borderId="2" xfId="0" applyNumberFormat="1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2" fontId="20" fillId="0" borderId="2" xfId="0" applyNumberFormat="1" applyFont="1" applyBorder="1" applyAlignment="1">
      <alignment vertical="center"/>
    </xf>
    <xf numFmtId="9" fontId="19" fillId="8" borderId="2" xfId="0" applyNumberFormat="1" applyFont="1" applyFill="1" applyBorder="1" applyAlignment="1">
      <alignment horizontal="center" vertical="center"/>
    </xf>
    <xf numFmtId="9" fontId="20" fillId="7" borderId="2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2" fillId="2" borderId="1" xfId="0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6" borderId="0" xfId="0" applyFont="1" applyFill="1" applyAlignment="1">
      <alignment vertical="center"/>
    </xf>
    <xf numFmtId="0" fontId="2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9" borderId="0" xfId="0" applyFont="1" applyFill="1" applyAlignment="1">
      <alignment vertical="center"/>
    </xf>
    <xf numFmtId="0" fontId="23" fillId="10" borderId="11" xfId="0" applyFont="1" applyFill="1" applyBorder="1" applyAlignment="1">
      <alignment vertical="center"/>
    </xf>
    <xf numFmtId="0" fontId="23" fillId="10" borderId="12" xfId="0" applyFont="1" applyFill="1" applyBorder="1" applyAlignment="1">
      <alignment vertical="center"/>
    </xf>
    <xf numFmtId="0" fontId="22" fillId="12" borderId="0" xfId="0" applyFont="1" applyFill="1" applyBorder="1" applyAlignment="1">
      <alignment vertical="center"/>
    </xf>
    <xf numFmtId="4" fontId="22" fillId="12" borderId="0" xfId="0" applyNumberFormat="1" applyFont="1" applyFill="1" applyBorder="1" applyAlignment="1">
      <alignment vertical="center"/>
    </xf>
    <xf numFmtId="4" fontId="22" fillId="9" borderId="0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9" borderId="0" xfId="0" applyNumberFormat="1" applyFont="1" applyFill="1" applyAlignment="1">
      <alignment vertical="center"/>
    </xf>
    <xf numFmtId="4" fontId="23" fillId="10" borderId="3" xfId="0" applyNumberFormat="1" applyFont="1" applyFill="1" applyBorder="1" applyAlignment="1">
      <alignment vertical="center"/>
    </xf>
    <xf numFmtId="0" fontId="24" fillId="13" borderId="20" xfId="0" applyFont="1" applyFill="1" applyBorder="1" applyAlignment="1">
      <alignment horizontal="center" vertical="center" wrapText="1"/>
    </xf>
    <xf numFmtId="0" fontId="24" fillId="13" borderId="21" xfId="0" applyFont="1" applyFill="1" applyBorder="1" applyAlignment="1">
      <alignment horizontal="center" vertical="center" wrapText="1"/>
    </xf>
    <xf numFmtId="0" fontId="24" fillId="13" borderId="22" xfId="0" applyFont="1" applyFill="1" applyBorder="1" applyAlignment="1">
      <alignment horizontal="center" vertical="center" wrapText="1"/>
    </xf>
    <xf numFmtId="0" fontId="25" fillId="10" borderId="4" xfId="0" applyFont="1" applyFill="1" applyBorder="1" applyAlignment="1">
      <alignment vertical="center"/>
    </xf>
    <xf numFmtId="0" fontId="25" fillId="10" borderId="5" xfId="0" applyFont="1" applyFill="1" applyBorder="1" applyAlignment="1">
      <alignment vertical="center"/>
    </xf>
    <xf numFmtId="0" fontId="25" fillId="11" borderId="5" xfId="0" applyFont="1" applyFill="1" applyBorder="1" applyAlignment="1">
      <alignment vertical="center"/>
    </xf>
    <xf numFmtId="0" fontId="25" fillId="10" borderId="6" xfId="0" applyFont="1" applyFill="1" applyBorder="1" applyAlignment="1">
      <alignment vertical="center"/>
    </xf>
    <xf numFmtId="0" fontId="25" fillId="10" borderId="10" xfId="0" applyFont="1" applyFill="1" applyBorder="1" applyAlignment="1">
      <alignment vertical="center"/>
    </xf>
    <xf numFmtId="0" fontId="25" fillId="10" borderId="3" xfId="0" applyFont="1" applyFill="1" applyBorder="1" applyAlignment="1">
      <alignment vertical="center"/>
    </xf>
    <xf numFmtId="0" fontId="26" fillId="0" borderId="0" xfId="0" applyFont="1" applyAlignment="1">
      <alignment vertical="center" wrapText="1"/>
    </xf>
    <xf numFmtId="0" fontId="26" fillId="0" borderId="7" xfId="0" applyFont="1" applyBorder="1" applyAlignment="1">
      <alignment vertical="center"/>
    </xf>
    <xf numFmtId="9" fontId="26" fillId="0" borderId="8" xfId="0" applyNumberFormat="1" applyFont="1" applyBorder="1" applyAlignment="1">
      <alignment vertical="center"/>
    </xf>
    <xf numFmtId="9" fontId="26" fillId="9" borderId="8" xfId="0" applyNumberFormat="1" applyFont="1" applyFill="1" applyBorder="1" applyAlignment="1">
      <alignment vertical="center"/>
    </xf>
    <xf numFmtId="9" fontId="26" fillId="0" borderId="9" xfId="0" applyNumberFormat="1" applyFont="1" applyBorder="1" applyAlignment="1">
      <alignment vertical="center"/>
    </xf>
    <xf numFmtId="0" fontId="26" fillId="0" borderId="13" xfId="0" applyFont="1" applyBorder="1" applyAlignment="1">
      <alignment vertical="center" wrapText="1"/>
    </xf>
    <xf numFmtId="4" fontId="26" fillId="0" borderId="3" xfId="0" applyNumberFormat="1" applyFont="1" applyBorder="1" applyAlignment="1">
      <alignment vertical="center"/>
    </xf>
    <xf numFmtId="4" fontId="26" fillId="9" borderId="3" xfId="0" applyNumberFormat="1" applyFont="1" applyFill="1" applyBorder="1" applyAlignment="1">
      <alignment vertical="center"/>
    </xf>
    <xf numFmtId="4" fontId="26" fillId="0" borderId="14" xfId="0" applyNumberFormat="1" applyFont="1" applyBorder="1" applyAlignment="1">
      <alignment vertical="center"/>
    </xf>
    <xf numFmtId="0" fontId="27" fillId="12" borderId="15" xfId="0" applyFont="1" applyFill="1" applyBorder="1" applyAlignment="1">
      <alignment vertical="center"/>
    </xf>
    <xf numFmtId="4" fontId="27" fillId="12" borderId="16" xfId="0" applyNumberFormat="1" applyFont="1" applyFill="1" applyBorder="1" applyAlignment="1">
      <alignment vertical="center"/>
    </xf>
    <xf numFmtId="4" fontId="27" fillId="9" borderId="16" xfId="0" applyNumberFormat="1" applyFont="1" applyFill="1" applyBorder="1" applyAlignment="1">
      <alignment vertical="center"/>
    </xf>
    <xf numFmtId="4" fontId="27" fillId="12" borderId="17" xfId="0" applyNumberFormat="1" applyFont="1" applyFill="1" applyBorder="1" applyAlignment="1">
      <alignment vertical="center"/>
    </xf>
    <xf numFmtId="0" fontId="26" fillId="0" borderId="3" xfId="0" applyFont="1" applyBorder="1" applyAlignment="1">
      <alignment vertical="center"/>
    </xf>
    <xf numFmtId="0" fontId="27" fillId="12" borderId="3" xfId="0" applyFont="1" applyFill="1" applyBorder="1" applyAlignment="1">
      <alignment vertical="center"/>
    </xf>
    <xf numFmtId="4" fontId="27" fillId="12" borderId="3" xfId="0" applyNumberFormat="1" applyFont="1" applyFill="1" applyBorder="1" applyAlignment="1">
      <alignment vertical="center"/>
    </xf>
    <xf numFmtId="4" fontId="27" fillId="9" borderId="3" xfId="0" applyNumberFormat="1" applyFont="1" applyFill="1" applyBorder="1" applyAlignment="1">
      <alignment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4" fontId="26" fillId="9" borderId="0" xfId="0" applyNumberFormat="1" applyFont="1" applyFill="1" applyAlignment="1">
      <alignment vertical="center"/>
    </xf>
    <xf numFmtId="0" fontId="27" fillId="12" borderId="10" xfId="0" applyFont="1" applyFill="1" applyBorder="1" applyAlignment="1">
      <alignment vertical="center"/>
    </xf>
    <xf numFmtId="4" fontId="27" fillId="12" borderId="11" xfId="0" applyNumberFormat="1" applyFont="1" applyFill="1" applyBorder="1" applyAlignment="1">
      <alignment vertical="center"/>
    </xf>
    <xf numFmtId="4" fontId="27" fillId="9" borderId="11" xfId="0" applyNumberFormat="1" applyFont="1" applyFill="1" applyBorder="1" applyAlignment="1">
      <alignment vertical="center"/>
    </xf>
    <xf numFmtId="4" fontId="27" fillId="12" borderId="12" xfId="0" applyNumberFormat="1" applyFont="1" applyFill="1" applyBorder="1" applyAlignment="1">
      <alignment vertical="center"/>
    </xf>
    <xf numFmtId="170" fontId="27" fillId="12" borderId="16" xfId="0" applyNumberFormat="1" applyFont="1" applyFill="1" applyBorder="1" applyAlignment="1">
      <alignment vertical="center"/>
    </xf>
    <xf numFmtId="170" fontId="27" fillId="9" borderId="16" xfId="0" applyNumberFormat="1" applyFont="1" applyFill="1" applyBorder="1" applyAlignment="1">
      <alignment vertical="center"/>
    </xf>
    <xf numFmtId="170" fontId="27" fillId="12" borderId="17" xfId="0" applyNumberFormat="1" applyFont="1" applyFill="1" applyBorder="1" applyAlignment="1">
      <alignment vertical="center"/>
    </xf>
    <xf numFmtId="0" fontId="26" fillId="0" borderId="10" xfId="0" applyFont="1" applyBorder="1" applyAlignment="1">
      <alignment vertical="center"/>
    </xf>
    <xf numFmtId="4" fontId="26" fillId="0" borderId="11" xfId="0" applyNumberFormat="1" applyFont="1" applyBorder="1" applyAlignment="1">
      <alignment vertical="center"/>
    </xf>
    <xf numFmtId="4" fontId="26" fillId="9" borderId="11" xfId="0" applyNumberFormat="1" applyFont="1" applyFill="1" applyBorder="1" applyAlignment="1">
      <alignment vertical="center"/>
    </xf>
    <xf numFmtId="4" fontId="26" fillId="0" borderId="12" xfId="0" applyNumberFormat="1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4" fontId="26" fillId="0" borderId="16" xfId="0" applyNumberFormat="1" applyFont="1" applyBorder="1" applyAlignment="1">
      <alignment vertical="center"/>
    </xf>
    <xf numFmtId="4" fontId="26" fillId="9" borderId="16" xfId="0" applyNumberFormat="1" applyFont="1" applyFill="1" applyBorder="1" applyAlignment="1">
      <alignment vertical="center"/>
    </xf>
    <xf numFmtId="4" fontId="26" fillId="0" borderId="17" xfId="0" applyNumberFormat="1" applyFont="1" applyBorder="1" applyAlignment="1">
      <alignment vertical="center"/>
    </xf>
    <xf numFmtId="0" fontId="26" fillId="0" borderId="4" xfId="0" applyFont="1" applyBorder="1" applyAlignment="1">
      <alignment vertical="center" wrapText="1"/>
    </xf>
    <xf numFmtId="4" fontId="26" fillId="0" borderId="5" xfId="0" applyNumberFormat="1" applyFont="1" applyBorder="1" applyAlignment="1">
      <alignment vertical="center" wrapText="1"/>
    </xf>
    <xf numFmtId="4" fontId="26" fillId="0" borderId="6" xfId="0" applyNumberFormat="1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4" fontId="26" fillId="0" borderId="0" xfId="0" applyNumberFormat="1" applyFont="1" applyBorder="1" applyAlignment="1">
      <alignment vertical="center" wrapText="1"/>
    </xf>
    <xf numFmtId="4" fontId="26" fillId="0" borderId="19" xfId="0" applyNumberFormat="1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4" fontId="26" fillId="0" borderId="8" xfId="0" applyNumberFormat="1" applyFont="1" applyBorder="1" applyAlignment="1">
      <alignment vertical="center" wrapText="1"/>
    </xf>
    <xf numFmtId="4" fontId="26" fillId="0" borderId="9" xfId="0" applyNumberFormat="1" applyFont="1" applyBorder="1" applyAlignment="1">
      <alignment vertical="center" wrapText="1"/>
    </xf>
    <xf numFmtId="0" fontId="28" fillId="14" borderId="23" xfId="6"/>
    <xf numFmtId="178" fontId="40" fillId="14" borderId="24" xfId="6" applyNumberFormat="1" applyFont="1" applyBorder="1" applyAlignment="1">
      <alignment horizontal="center" vertical="center"/>
    </xf>
    <xf numFmtId="0" fontId="40" fillId="14" borderId="24" xfId="6" applyFont="1" applyBorder="1" applyAlignment="1">
      <alignment vertical="center" wrapText="1"/>
    </xf>
    <xf numFmtId="0" fontId="40" fillId="18" borderId="24" xfId="6" applyFont="1" applyFill="1" applyBorder="1" applyAlignment="1">
      <alignment vertical="center"/>
    </xf>
    <xf numFmtId="0" fontId="40" fillId="14" borderId="24" xfId="6" applyFont="1" applyBorder="1" applyAlignment="1">
      <alignment horizontal="center" vertical="center"/>
    </xf>
    <xf numFmtId="0" fontId="41" fillId="18" borderId="24" xfId="6" applyFont="1" applyFill="1" applyBorder="1" applyAlignment="1">
      <alignment horizontal="center" vertical="center"/>
    </xf>
    <xf numFmtId="0" fontId="37" fillId="18" borderId="24" xfId="6" applyFont="1" applyFill="1" applyBorder="1" applyAlignment="1">
      <alignment horizontal="center" vertical="center"/>
    </xf>
    <xf numFmtId="1" fontId="37" fillId="18" borderId="24" xfId="6" applyNumberFormat="1" applyFont="1" applyFill="1" applyBorder="1" applyAlignment="1">
      <alignment horizontal="center" vertical="center"/>
    </xf>
    <xf numFmtId="2" fontId="37" fillId="18" borderId="24" xfId="6" applyNumberFormat="1" applyFont="1" applyFill="1" applyBorder="1" applyAlignment="1">
      <alignment vertical="center"/>
    </xf>
    <xf numFmtId="176" fontId="36" fillId="16" borderId="24" xfId="6" applyNumberFormat="1" applyFont="1" applyFill="1" applyBorder="1" applyAlignment="1">
      <alignment vertical="center"/>
    </xf>
    <xf numFmtId="176" fontId="37" fillId="18" borderId="24" xfId="6" applyNumberFormat="1" applyFont="1" applyFill="1" applyBorder="1" applyAlignment="1">
      <alignment vertical="center"/>
    </xf>
    <xf numFmtId="0" fontId="36" fillId="16" borderId="24" xfId="6" applyFont="1" applyFill="1" applyBorder="1" applyAlignment="1">
      <alignment horizontal="center" vertical="center" wrapText="1"/>
    </xf>
    <xf numFmtId="1" fontId="34" fillId="18" borderId="23" xfId="6" applyNumberFormat="1" applyFont="1" applyFill="1" applyAlignment="1">
      <alignment horizontal="center" vertical="center"/>
    </xf>
    <xf numFmtId="175" fontId="34" fillId="18" borderId="23" xfId="6" applyNumberFormat="1" applyFont="1" applyFill="1" applyAlignment="1">
      <alignment horizontal="center" vertical="center"/>
    </xf>
    <xf numFmtId="0" fontId="33" fillId="18" borderId="23" xfId="6" applyFont="1" applyFill="1" applyAlignment="1">
      <alignment horizontal="center" vertical="center"/>
    </xf>
    <xf numFmtId="0" fontId="31" fillId="16" borderId="23" xfId="6" applyFont="1" applyFill="1" applyAlignment="1">
      <alignment vertical="center"/>
    </xf>
    <xf numFmtId="0" fontId="28" fillId="16" borderId="23" xfId="6" applyFill="1"/>
    <xf numFmtId="0" fontId="32" fillId="16" borderId="23" xfId="6" applyFont="1" applyFill="1" applyAlignment="1">
      <alignment vertical="center"/>
    </xf>
    <xf numFmtId="0" fontId="28" fillId="17" borderId="23" xfId="6" applyFill="1"/>
    <xf numFmtId="0" fontId="33" fillId="18" borderId="23" xfId="6" applyFont="1" applyFill="1" applyAlignment="1">
      <alignment horizontal="center" vertical="center"/>
    </xf>
    <xf numFmtId="175" fontId="34" fillId="18" borderId="23" xfId="6" applyNumberFormat="1" applyFont="1" applyFill="1" applyAlignment="1">
      <alignment horizontal="center" vertical="center"/>
    </xf>
    <xf numFmtId="0" fontId="35" fillId="19" borderId="23" xfId="6" applyFont="1" applyFill="1" applyAlignment="1">
      <alignment vertical="center"/>
    </xf>
    <xf numFmtId="0" fontId="28" fillId="19" borderId="23" xfId="6" applyFill="1"/>
    <xf numFmtId="0" fontId="36" fillId="16" borderId="24" xfId="6" applyFont="1" applyFill="1" applyBorder="1" applyAlignment="1">
      <alignment horizontal="left" vertical="center" wrapText="1"/>
    </xf>
    <xf numFmtId="0" fontId="36" fillId="16" borderId="24" xfId="6" applyFont="1" applyFill="1" applyBorder="1" applyAlignment="1">
      <alignment horizontal="center" vertical="center" wrapText="1"/>
    </xf>
    <xf numFmtId="0" fontId="37" fillId="14" borderId="24" xfId="6" applyFont="1" applyBorder="1" applyAlignment="1">
      <alignment vertical="center"/>
    </xf>
    <xf numFmtId="176" fontId="37" fillId="14" borderId="24" xfId="6" applyNumberFormat="1" applyFont="1" applyBorder="1" applyAlignment="1">
      <alignment vertical="center"/>
    </xf>
    <xf numFmtId="176" fontId="37" fillId="18" borderId="24" xfId="6" applyNumberFormat="1" applyFont="1" applyFill="1" applyBorder="1" applyAlignment="1">
      <alignment vertical="center"/>
    </xf>
    <xf numFmtId="0" fontId="38" fillId="14" borderId="24" xfId="6" applyFont="1" applyBorder="1" applyAlignment="1">
      <alignment vertical="center"/>
    </xf>
    <xf numFmtId="176" fontId="39" fillId="14" borderId="24" xfId="6" applyNumberFormat="1" applyFont="1" applyBorder="1" applyAlignment="1">
      <alignment vertical="center"/>
    </xf>
    <xf numFmtId="0" fontId="37" fillId="18" borderId="24" xfId="6" applyFont="1" applyFill="1" applyBorder="1" applyAlignment="1">
      <alignment vertical="center"/>
    </xf>
    <xf numFmtId="176" fontId="36" fillId="16" borderId="24" xfId="6" applyNumberFormat="1" applyFont="1" applyFill="1" applyBorder="1" applyAlignment="1">
      <alignment vertical="center"/>
    </xf>
    <xf numFmtId="0" fontId="40" fillId="14" borderId="24" xfId="6" applyFont="1" applyBorder="1" applyAlignment="1">
      <alignment vertical="center"/>
    </xf>
    <xf numFmtId="2" fontId="40" fillId="14" borderId="24" xfId="6" applyNumberFormat="1" applyFont="1" applyBorder="1" applyAlignment="1">
      <alignment vertical="center"/>
    </xf>
    <xf numFmtId="2" fontId="37" fillId="18" borderId="24" xfId="6" applyNumberFormat="1" applyFont="1" applyFill="1" applyBorder="1" applyAlignment="1">
      <alignment vertical="center"/>
    </xf>
    <xf numFmtId="2" fontId="37" fillId="14" borderId="24" xfId="6" applyNumberFormat="1" applyFont="1" applyBorder="1" applyAlignment="1">
      <alignment vertical="center"/>
    </xf>
    <xf numFmtId="177" fontId="40" fillId="14" borderId="24" xfId="6" applyNumberFormat="1" applyFont="1" applyBorder="1" applyAlignment="1">
      <alignment horizontal="center" vertical="center"/>
    </xf>
    <xf numFmtId="0" fontId="40" fillId="14" borderId="24" xfId="6" applyFont="1" applyBorder="1" applyAlignment="1">
      <alignment horizontal="center" vertical="center"/>
    </xf>
    <xf numFmtId="1" fontId="40" fillId="14" borderId="24" xfId="6" applyNumberFormat="1" applyFont="1" applyBorder="1" applyAlignment="1">
      <alignment horizontal="center" vertical="center"/>
    </xf>
    <xf numFmtId="176" fontId="40" fillId="14" borderId="24" xfId="6" applyNumberFormat="1" applyFont="1" applyBorder="1" applyAlignment="1">
      <alignment vertical="center"/>
    </xf>
    <xf numFmtId="0" fontId="40" fillId="14" borderId="24" xfId="6" applyFont="1" applyBorder="1" applyAlignment="1">
      <alignment vertical="center" wrapText="1"/>
    </xf>
    <xf numFmtId="176" fontId="40" fillId="14" borderId="24" xfId="6" applyNumberFormat="1" applyFont="1" applyBorder="1" applyAlignment="1">
      <alignment horizontal="right" vertical="center"/>
    </xf>
    <xf numFmtId="0" fontId="40" fillId="18" borderId="24" xfId="6" applyFont="1" applyFill="1" applyBorder="1" applyAlignment="1">
      <alignment vertical="center"/>
    </xf>
    <xf numFmtId="176" fontId="37" fillId="18" borderId="24" xfId="6" applyNumberFormat="1" applyFont="1" applyFill="1" applyBorder="1" applyAlignment="1">
      <alignment horizontal="right" vertical="center"/>
    </xf>
    <xf numFmtId="0" fontId="36" fillId="16" borderId="24" xfId="6" applyFont="1" applyFill="1" applyBorder="1" applyAlignment="1">
      <alignment vertical="center"/>
    </xf>
    <xf numFmtId="0" fontId="40" fillId="16" borderId="24" xfId="6" applyFont="1" applyFill="1" applyBorder="1" applyAlignment="1">
      <alignment vertical="center"/>
    </xf>
    <xf numFmtId="176" fontId="36" fillId="16" borderId="24" xfId="6" applyNumberFormat="1" applyFont="1" applyFill="1" applyBorder="1" applyAlignment="1">
      <alignment horizontal="right" vertical="center"/>
    </xf>
    <xf numFmtId="0" fontId="42" fillId="14" borderId="23" xfId="6" applyFont="1"/>
    <xf numFmtId="0" fontId="43" fillId="14" borderId="23" xfId="6" applyFont="1"/>
    <xf numFmtId="0" fontId="44" fillId="14" borderId="23" xfId="6" applyFont="1"/>
    <xf numFmtId="0" fontId="45" fillId="16" borderId="25" xfId="6" applyFont="1" applyFill="1" applyBorder="1" applyAlignment="1">
      <alignment horizontal="center" vertical="center" wrapText="1"/>
    </xf>
    <xf numFmtId="0" fontId="45" fillId="16" borderId="25" xfId="6" applyFont="1" applyFill="1" applyBorder="1" applyAlignment="1">
      <alignment vertical="center"/>
    </xf>
    <xf numFmtId="0" fontId="46" fillId="16" borderId="25" xfId="6" applyFont="1" applyFill="1" applyBorder="1" applyAlignment="1">
      <alignment vertical="center"/>
    </xf>
    <xf numFmtId="0" fontId="46" fillId="14" borderId="25" xfId="6" applyFont="1" applyBorder="1" applyAlignment="1">
      <alignment vertical="center" wrapText="1"/>
    </xf>
    <xf numFmtId="1" fontId="46" fillId="14" borderId="25" xfId="6" applyNumberFormat="1" applyFont="1" applyBorder="1" applyAlignment="1">
      <alignment horizontal="center" vertical="center"/>
    </xf>
    <xf numFmtId="176" fontId="46" fillId="14" borderId="25" xfId="6" applyNumberFormat="1" applyFont="1" applyBorder="1" applyAlignment="1">
      <alignment vertical="center"/>
    </xf>
    <xf numFmtId="176" fontId="46" fillId="14" borderId="25" xfId="6" applyNumberFormat="1" applyFont="1" applyBorder="1" applyAlignment="1">
      <alignment horizontal="right" vertical="center"/>
    </xf>
    <xf numFmtId="0" fontId="46" fillId="14" borderId="25" xfId="6" applyFont="1" applyBorder="1" applyAlignment="1">
      <alignment vertical="center"/>
    </xf>
    <xf numFmtId="176" fontId="47" fillId="20" borderId="25" xfId="6" applyNumberFormat="1" applyFont="1" applyFill="1" applyBorder="1" applyAlignment="1">
      <alignment vertical="center"/>
    </xf>
    <xf numFmtId="9" fontId="47" fillId="20" borderId="25" xfId="6" applyNumberFormat="1" applyFont="1" applyFill="1" applyBorder="1" applyAlignment="1">
      <alignment vertical="center"/>
    </xf>
    <xf numFmtId="1" fontId="47" fillId="20" borderId="25" xfId="6" applyNumberFormat="1" applyFont="1" applyFill="1" applyBorder="1" applyAlignment="1">
      <alignment vertical="center"/>
    </xf>
    <xf numFmtId="0" fontId="46" fillId="14" borderId="25" xfId="6" applyFont="1" applyBorder="1" applyAlignment="1">
      <alignment horizontal="center" vertical="center"/>
    </xf>
    <xf numFmtId="0" fontId="46" fillId="14" borderId="25" xfId="6" applyFont="1" applyBorder="1" applyAlignment="1">
      <alignment horizontal="right" vertical="center"/>
    </xf>
    <xf numFmtId="0" fontId="48" fillId="21" borderId="25" xfId="6" applyFont="1" applyFill="1" applyBorder="1" applyAlignment="1">
      <alignment vertical="center"/>
    </xf>
    <xf numFmtId="0" fontId="46" fillId="21" borderId="25" xfId="6" applyFont="1" applyFill="1" applyBorder="1" applyAlignment="1">
      <alignment vertical="center"/>
    </xf>
    <xf numFmtId="176" fontId="48" fillId="21" borderId="25" xfId="6" applyNumberFormat="1" applyFont="1" applyFill="1" applyBorder="1" applyAlignment="1">
      <alignment vertical="center"/>
    </xf>
    <xf numFmtId="0" fontId="44" fillId="14" borderId="25" xfId="6" applyFont="1" applyBorder="1" applyAlignment="1">
      <alignment vertical="center"/>
    </xf>
    <xf numFmtId="0" fontId="45" fillId="19" borderId="25" xfId="6" applyFont="1" applyFill="1" applyBorder="1" applyAlignment="1">
      <alignment horizontal="center" vertical="center" wrapText="1"/>
    </xf>
    <xf numFmtId="1" fontId="47" fillId="14" borderId="25" xfId="6" applyNumberFormat="1" applyFont="1" applyBorder="1" applyAlignment="1">
      <alignment horizontal="center" vertical="center"/>
    </xf>
    <xf numFmtId="176" fontId="45" fillId="16" borderId="25" xfId="6" applyNumberFormat="1" applyFont="1" applyFill="1" applyBorder="1" applyAlignment="1">
      <alignment vertical="center"/>
    </xf>
    <xf numFmtId="0" fontId="48" fillId="14" borderId="25" xfId="6" applyFont="1" applyBorder="1" applyAlignment="1">
      <alignment vertical="center"/>
    </xf>
    <xf numFmtId="2" fontId="48" fillId="14" borderId="25" xfId="6" applyNumberFormat="1" applyFont="1" applyBorder="1" applyAlignment="1">
      <alignment vertical="center"/>
    </xf>
    <xf numFmtId="9" fontId="47" fillId="22" borderId="25" xfId="6" applyNumberFormat="1" applyFont="1" applyFill="1" applyBorder="1" applyAlignment="1">
      <alignment horizontal="center" vertical="center"/>
    </xf>
    <xf numFmtId="9" fontId="48" fillId="21" borderId="25" xfId="6" applyNumberFormat="1" applyFont="1" applyFill="1" applyBorder="1" applyAlignment="1">
      <alignment horizontal="center" vertical="center"/>
    </xf>
    <xf numFmtId="0" fontId="48" fillId="14" borderId="23" xfId="6" applyFont="1" applyAlignment="1">
      <alignment vertical="center"/>
    </xf>
    <xf numFmtId="0" fontId="40" fillId="16" borderId="24" xfId="6" applyFont="1" applyFill="1" applyBorder="1" applyAlignment="1">
      <alignment vertical="center"/>
    </xf>
    <xf numFmtId="178" fontId="36" fillId="16" borderId="24" xfId="6" applyNumberFormat="1" applyFont="1" applyFill="1" applyBorder="1" applyAlignment="1">
      <alignment horizontal="center" vertical="center"/>
    </xf>
    <xf numFmtId="0" fontId="38" fillId="14" borderId="23" xfId="6" applyFont="1" applyAlignment="1">
      <alignment vertical="center"/>
    </xf>
    <xf numFmtId="0" fontId="40" fillId="14" borderId="23" xfId="6" applyFont="1" applyAlignment="1">
      <alignment vertical="center" wrapText="1"/>
    </xf>
    <xf numFmtId="0" fontId="40" fillId="20" borderId="23" xfId="6" applyFont="1" applyFill="1" applyAlignment="1">
      <alignment vertical="center"/>
    </xf>
    <xf numFmtId="0" fontId="49" fillId="14" borderId="23" xfId="6" applyFont="1" applyAlignment="1">
      <alignment vertical="top" wrapText="1"/>
    </xf>
    <xf numFmtId="0" fontId="29" fillId="14" borderId="23" xfId="6" applyFont="1" applyAlignment="1">
      <alignment vertical="center"/>
    </xf>
    <xf numFmtId="0" fontId="29" fillId="23" borderId="23" xfId="6" applyFont="1" applyFill="1" applyAlignment="1">
      <alignment vertical="center"/>
    </xf>
    <xf numFmtId="0" fontId="51" fillId="24" borderId="34" xfId="6" applyFont="1" applyFill="1" applyBorder="1" applyAlignment="1">
      <alignment vertical="center"/>
    </xf>
    <xf numFmtId="0" fontId="51" fillId="24" borderId="35" xfId="6" applyFont="1" applyFill="1" applyBorder="1" applyAlignment="1">
      <alignment vertical="center"/>
    </xf>
    <xf numFmtId="0" fontId="50" fillId="26" borderId="23" xfId="6" applyFont="1" applyFill="1" applyBorder="1" applyAlignment="1">
      <alignment vertical="center"/>
    </xf>
    <xf numFmtId="4" fontId="50" fillId="26" borderId="23" xfId="6" applyNumberFormat="1" applyFont="1" applyFill="1" applyBorder="1" applyAlignment="1">
      <alignment vertical="center"/>
    </xf>
    <xf numFmtId="4" fontId="50" fillId="23" borderId="23" xfId="6" applyNumberFormat="1" applyFont="1" applyFill="1" applyBorder="1" applyAlignment="1">
      <alignment vertical="center"/>
    </xf>
    <xf numFmtId="4" fontId="29" fillId="14" borderId="23" xfId="6" applyNumberFormat="1" applyFont="1" applyAlignment="1">
      <alignment vertical="center"/>
    </xf>
    <xf numFmtId="4" fontId="29" fillId="23" borderId="23" xfId="6" applyNumberFormat="1" applyFont="1" applyFill="1" applyAlignment="1">
      <alignment vertical="center"/>
    </xf>
    <xf numFmtId="4" fontId="51" fillId="24" borderId="26" xfId="6" applyNumberFormat="1" applyFont="1" applyFill="1" applyBorder="1" applyAlignment="1">
      <alignment vertical="center"/>
    </xf>
    <xf numFmtId="0" fontId="52" fillId="27" borderId="43" xfId="6" applyFont="1" applyFill="1" applyBorder="1" applyAlignment="1">
      <alignment horizontal="center" vertical="center" wrapText="1"/>
    </xf>
    <xf numFmtId="0" fontId="52" fillId="27" borderId="44" xfId="6" applyFont="1" applyFill="1" applyBorder="1" applyAlignment="1">
      <alignment horizontal="center" vertical="center" wrapText="1"/>
    </xf>
    <xf numFmtId="0" fontId="52" fillId="27" borderId="45" xfId="6" applyFont="1" applyFill="1" applyBorder="1" applyAlignment="1">
      <alignment horizontal="center" vertical="center" wrapText="1"/>
    </xf>
    <xf numFmtId="0" fontId="53" fillId="24" borderId="27" xfId="6" applyFont="1" applyFill="1" applyBorder="1" applyAlignment="1">
      <alignment vertical="center"/>
    </xf>
    <xf numFmtId="0" fontId="53" fillId="24" borderId="28" xfId="6" applyFont="1" applyFill="1" applyBorder="1" applyAlignment="1">
      <alignment vertical="center"/>
    </xf>
    <xf numFmtId="0" fontId="53" fillId="25" borderId="28" xfId="6" applyFont="1" applyFill="1" applyBorder="1" applyAlignment="1">
      <alignment vertical="center"/>
    </xf>
    <xf numFmtId="0" fontId="53" fillId="24" borderId="29" xfId="6" applyFont="1" applyFill="1" applyBorder="1" applyAlignment="1">
      <alignment vertical="center"/>
    </xf>
    <xf numFmtId="0" fontId="53" fillId="24" borderId="33" xfId="6" applyFont="1" applyFill="1" applyBorder="1" applyAlignment="1">
      <alignment vertical="center"/>
    </xf>
    <xf numFmtId="0" fontId="53" fillId="24" borderId="26" xfId="6" applyFont="1" applyFill="1" applyBorder="1" applyAlignment="1">
      <alignment vertical="center"/>
    </xf>
    <xf numFmtId="0" fontId="54" fillId="14" borderId="23" xfId="6" applyFont="1" applyAlignment="1">
      <alignment vertical="center" wrapText="1"/>
    </xf>
    <xf numFmtId="0" fontId="54" fillId="14" borderId="30" xfId="6" applyFont="1" applyBorder="1" applyAlignment="1">
      <alignment vertical="center"/>
    </xf>
    <xf numFmtId="9" fontId="54" fillId="14" borderId="31" xfId="6" applyNumberFormat="1" applyFont="1" applyBorder="1" applyAlignment="1">
      <alignment vertical="center"/>
    </xf>
    <xf numFmtId="9" fontId="54" fillId="23" borderId="31" xfId="6" applyNumberFormat="1" applyFont="1" applyFill="1" applyBorder="1" applyAlignment="1">
      <alignment vertical="center"/>
    </xf>
    <xf numFmtId="9" fontId="54" fillId="14" borderId="32" xfId="6" applyNumberFormat="1" applyFont="1" applyBorder="1" applyAlignment="1">
      <alignment vertical="center"/>
    </xf>
    <xf numFmtId="0" fontId="54" fillId="14" borderId="36" xfId="6" applyFont="1" applyBorder="1" applyAlignment="1">
      <alignment vertical="center" wrapText="1"/>
    </xf>
    <xf numFmtId="4" fontId="54" fillId="14" borderId="26" xfId="6" applyNumberFormat="1" applyFont="1" applyBorder="1" applyAlignment="1">
      <alignment vertical="center"/>
    </xf>
    <xf numFmtId="4" fontId="54" fillId="23" borderId="26" xfId="6" applyNumberFormat="1" applyFont="1" applyFill="1" applyBorder="1" applyAlignment="1">
      <alignment vertical="center"/>
    </xf>
    <xf numFmtId="4" fontId="54" fillId="14" borderId="37" xfId="6" applyNumberFormat="1" applyFont="1" applyBorder="1" applyAlignment="1">
      <alignment vertical="center"/>
    </xf>
    <xf numFmtId="0" fontId="55" fillId="26" borderId="38" xfId="6" applyFont="1" applyFill="1" applyBorder="1" applyAlignment="1">
      <alignment vertical="center"/>
    </xf>
    <xf numFmtId="4" fontId="55" fillId="26" borderId="39" xfId="6" applyNumberFormat="1" applyFont="1" applyFill="1" applyBorder="1" applyAlignment="1">
      <alignment vertical="center"/>
    </xf>
    <xf numFmtId="4" fontId="55" fillId="23" borderId="39" xfId="6" applyNumberFormat="1" applyFont="1" applyFill="1" applyBorder="1" applyAlignment="1">
      <alignment vertical="center"/>
    </xf>
    <xf numFmtId="4" fontId="55" fillId="26" borderId="40" xfId="6" applyNumberFormat="1" applyFont="1" applyFill="1" applyBorder="1" applyAlignment="1">
      <alignment vertical="center"/>
    </xf>
    <xf numFmtId="0" fontId="54" fillId="14" borderId="26" xfId="6" applyFont="1" applyBorder="1" applyAlignment="1">
      <alignment vertical="center"/>
    </xf>
    <xf numFmtId="0" fontId="55" fillId="26" borderId="26" xfId="6" applyFont="1" applyFill="1" applyBorder="1" applyAlignment="1">
      <alignment vertical="center"/>
    </xf>
    <xf numFmtId="4" fontId="55" fillId="26" borderId="26" xfId="6" applyNumberFormat="1" applyFont="1" applyFill="1" applyBorder="1" applyAlignment="1">
      <alignment vertical="center"/>
    </xf>
    <xf numFmtId="4" fontId="55" fillId="23" borderId="26" xfId="6" applyNumberFormat="1" applyFont="1" applyFill="1" applyBorder="1" applyAlignment="1">
      <alignment vertical="center"/>
    </xf>
    <xf numFmtId="0" fontId="54" fillId="14" borderId="23" xfId="6" applyFont="1" applyAlignment="1">
      <alignment vertical="center"/>
    </xf>
    <xf numFmtId="4" fontId="54" fillId="14" borderId="23" xfId="6" applyNumberFormat="1" applyFont="1" applyAlignment="1">
      <alignment vertical="center"/>
    </xf>
    <xf numFmtId="4" fontId="54" fillId="23" borderId="23" xfId="6" applyNumberFormat="1" applyFont="1" applyFill="1" applyAlignment="1">
      <alignment vertical="center"/>
    </xf>
    <xf numFmtId="0" fontId="55" fillId="26" borderId="33" xfId="6" applyFont="1" applyFill="1" applyBorder="1" applyAlignment="1">
      <alignment vertical="center"/>
    </xf>
    <xf numFmtId="4" fontId="55" fillId="26" borderId="34" xfId="6" applyNumberFormat="1" applyFont="1" applyFill="1" applyBorder="1" applyAlignment="1">
      <alignment vertical="center"/>
    </xf>
    <xf numFmtId="4" fontId="55" fillId="23" borderId="34" xfId="6" applyNumberFormat="1" applyFont="1" applyFill="1" applyBorder="1" applyAlignment="1">
      <alignment vertical="center"/>
    </xf>
    <xf numFmtId="4" fontId="55" fillId="26" borderId="35" xfId="6" applyNumberFormat="1" applyFont="1" applyFill="1" applyBorder="1" applyAlignment="1">
      <alignment vertical="center"/>
    </xf>
    <xf numFmtId="179" fontId="55" fillId="26" borderId="39" xfId="6" applyNumberFormat="1" applyFont="1" applyFill="1" applyBorder="1" applyAlignment="1">
      <alignment vertical="center"/>
    </xf>
    <xf numFmtId="179" fontId="55" fillId="23" borderId="39" xfId="6" applyNumberFormat="1" applyFont="1" applyFill="1" applyBorder="1" applyAlignment="1">
      <alignment vertical="center"/>
    </xf>
    <xf numFmtId="179" fontId="55" fillId="26" borderId="40" xfId="6" applyNumberFormat="1" applyFont="1" applyFill="1" applyBorder="1" applyAlignment="1">
      <alignment vertical="center"/>
    </xf>
    <xf numFmtId="0" fontId="54" fillId="14" borderId="33" xfId="6" applyFont="1" applyBorder="1" applyAlignment="1">
      <alignment vertical="center"/>
    </xf>
    <xf numFmtId="4" fontId="54" fillId="14" borderId="34" xfId="6" applyNumberFormat="1" applyFont="1" applyBorder="1" applyAlignment="1">
      <alignment vertical="center"/>
    </xf>
    <xf numFmtId="4" fontId="54" fillId="23" borderId="34" xfId="6" applyNumberFormat="1" applyFont="1" applyFill="1" applyBorder="1" applyAlignment="1">
      <alignment vertical="center"/>
    </xf>
    <xf numFmtId="4" fontId="54" fillId="14" borderId="35" xfId="6" applyNumberFormat="1" applyFont="1" applyBorder="1" applyAlignment="1">
      <alignment vertical="center"/>
    </xf>
    <xf numFmtId="0" fontId="54" fillId="14" borderId="38" xfId="6" applyFont="1" applyBorder="1" applyAlignment="1">
      <alignment vertical="center"/>
    </xf>
    <xf numFmtId="4" fontId="54" fillId="14" borderId="39" xfId="6" applyNumberFormat="1" applyFont="1" applyBorder="1" applyAlignment="1">
      <alignment vertical="center"/>
    </xf>
    <xf numFmtId="4" fontId="54" fillId="23" borderId="39" xfId="6" applyNumberFormat="1" applyFont="1" applyFill="1" applyBorder="1" applyAlignment="1">
      <alignment vertical="center"/>
    </xf>
    <xf numFmtId="4" fontId="54" fillId="14" borderId="40" xfId="6" applyNumberFormat="1" applyFont="1" applyBorder="1" applyAlignment="1">
      <alignment vertical="center"/>
    </xf>
    <xf numFmtId="0" fontId="54" fillId="14" borderId="27" xfId="6" applyFont="1" applyBorder="1" applyAlignment="1">
      <alignment vertical="center" wrapText="1"/>
    </xf>
    <xf numFmtId="4" fontId="54" fillId="14" borderId="28" xfId="6" applyNumberFormat="1" applyFont="1" applyBorder="1" applyAlignment="1">
      <alignment vertical="center" wrapText="1"/>
    </xf>
    <xf numFmtId="4" fontId="54" fillId="14" borderId="29" xfId="6" applyNumberFormat="1" applyFont="1" applyBorder="1" applyAlignment="1">
      <alignment vertical="center" wrapText="1"/>
    </xf>
    <xf numFmtId="0" fontId="54" fillId="14" borderId="41" xfId="6" applyFont="1" applyBorder="1" applyAlignment="1">
      <alignment vertical="center" wrapText="1"/>
    </xf>
    <xf numFmtId="4" fontId="54" fillId="14" borderId="23" xfId="6" applyNumberFormat="1" applyFont="1" applyBorder="1" applyAlignment="1">
      <alignment vertical="center" wrapText="1"/>
    </xf>
    <xf numFmtId="4" fontId="54" fillId="14" borderId="42" xfId="6" applyNumberFormat="1" applyFont="1" applyBorder="1" applyAlignment="1">
      <alignment vertical="center" wrapText="1"/>
    </xf>
    <xf numFmtId="0" fontId="54" fillId="14" borderId="30" xfId="6" applyFont="1" applyBorder="1" applyAlignment="1">
      <alignment vertical="center" wrapText="1"/>
    </xf>
    <xf numFmtId="4" fontId="54" fillId="14" borderId="31" xfId="6" applyNumberFormat="1" applyFont="1" applyBorder="1" applyAlignment="1">
      <alignment vertical="center" wrapText="1"/>
    </xf>
    <xf numFmtId="4" fontId="54" fillId="14" borderId="32" xfId="6" applyNumberFormat="1" applyFont="1" applyBorder="1" applyAlignment="1">
      <alignment vertical="center" wrapText="1"/>
    </xf>
    <xf numFmtId="0" fontId="56" fillId="14" borderId="23" xfId="6" applyNumberFormat="1" applyFont="1" applyFill="1" applyBorder="1"/>
    <xf numFmtId="0" fontId="56" fillId="14" borderId="23" xfId="6" applyNumberFormat="1" applyFont="1" applyFill="1" applyBorder="1" applyAlignment="1">
      <alignment vertical="center"/>
    </xf>
    <xf numFmtId="0" fontId="56" fillId="14" borderId="23" xfId="6" applyNumberFormat="1" applyFont="1" applyFill="1" applyBorder="1" applyAlignment="1">
      <alignment vertical="center" wrapText="1"/>
    </xf>
    <xf numFmtId="0" fontId="56" fillId="28" borderId="23" xfId="6" applyNumberFormat="1" applyFont="1" applyFill="1" applyBorder="1" applyAlignment="1">
      <alignment vertical="center" wrapText="1"/>
    </xf>
    <xf numFmtId="0" fontId="57" fillId="28" borderId="23" xfId="6" applyNumberFormat="1" applyFont="1" applyFill="1" applyBorder="1" applyAlignment="1">
      <alignment vertical="center" wrapText="1"/>
    </xf>
    <xf numFmtId="180" fontId="56" fillId="14" borderId="23" xfId="6" applyNumberFormat="1" applyFont="1" applyFill="1" applyBorder="1" applyAlignment="1">
      <alignment vertical="center"/>
    </xf>
    <xf numFmtId="181" fontId="56" fillId="14" borderId="23" xfId="6" applyNumberFormat="1" applyFont="1" applyFill="1" applyBorder="1" applyAlignment="1">
      <alignment vertical="center"/>
    </xf>
    <xf numFmtId="182" fontId="56" fillId="14" borderId="23" xfId="6" applyNumberFormat="1" applyFont="1" applyFill="1" applyBorder="1" applyAlignment="1">
      <alignment vertical="center"/>
    </xf>
    <xf numFmtId="183" fontId="56" fillId="14" borderId="23" xfId="6" applyNumberFormat="1" applyFont="1" applyFill="1" applyBorder="1" applyAlignment="1">
      <alignment vertical="center"/>
    </xf>
    <xf numFmtId="0" fontId="56" fillId="29" borderId="23" xfId="6" applyNumberFormat="1" applyFont="1" applyFill="1" applyBorder="1" applyAlignment="1">
      <alignment vertical="center"/>
    </xf>
    <xf numFmtId="0" fontId="57" fillId="29" borderId="23" xfId="6" applyNumberFormat="1" applyFont="1" applyFill="1" applyBorder="1" applyAlignment="1">
      <alignment vertical="center"/>
    </xf>
    <xf numFmtId="0" fontId="57" fillId="29" borderId="23" xfId="6" applyNumberFormat="1" applyFont="1" applyFill="1" applyBorder="1" applyAlignment="1">
      <alignment vertical="center" wrapText="1"/>
    </xf>
    <xf numFmtId="0" fontId="56" fillId="28" borderId="23" xfId="6" applyNumberFormat="1" applyFont="1" applyFill="1" applyBorder="1" applyAlignment="1">
      <alignment vertical="center"/>
    </xf>
    <xf numFmtId="183" fontId="56" fillId="28" borderId="23" xfId="6" applyNumberFormat="1" applyFont="1" applyFill="1" applyBorder="1" applyAlignment="1">
      <alignment vertical="center"/>
    </xf>
    <xf numFmtId="0" fontId="57" fillId="28" borderId="23" xfId="6" applyNumberFormat="1" applyFont="1" applyFill="1" applyBorder="1" applyAlignment="1">
      <alignment vertical="center"/>
    </xf>
    <xf numFmtId="183" fontId="57" fillId="28" borderId="23" xfId="6" applyNumberFormat="1" applyFont="1" applyFill="1" applyBorder="1" applyAlignment="1">
      <alignment vertical="center"/>
    </xf>
  </cellXfs>
  <cellStyles count="6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0" builtinId="0"/>
    <cellStyle name="Percent" xfId="5" xr:uid="{00000000-0005-0000-0000-000005000000}"/>
  </cellStyles>
  <dxfs count="1">
    <dxf>
      <numFmt numFmtId="164" formatCode="\-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2B"/>
      <rgbColor rgb="FF800080"/>
      <rgbColor rgb="FF008080"/>
      <rgbColor rgb="FFB3B3B3"/>
      <rgbColor rgb="FF5A6380"/>
      <rgbColor rgb="FF9999FF"/>
      <rgbColor rgb="FF993366"/>
      <rgbColor rgb="FFDDD9C3"/>
      <rgbColor rgb="FFE8ECF5"/>
      <rgbColor rgb="FF660066"/>
      <rgbColor rgb="FFFF8080"/>
      <rgbColor rgb="FF0066CC"/>
      <rgbColor rgb="FFC9D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F2"/>
      <rgbColor rgb="FFD5DAE6"/>
      <rgbColor rgb="FFFFFF99"/>
      <rgbColor rgb="FFD9D9D9"/>
      <rgbColor rgb="FFFF99CC"/>
      <rgbColor rgb="FFCC99FF"/>
      <rgbColor rgb="FFF2D79A"/>
      <rgbColor rgb="FF3366FF"/>
      <rgbColor rgb="FF33CCCC"/>
      <rgbColor rgb="FF99CC00"/>
      <rgbColor rgb="FFFFCC00"/>
      <rgbColor rgb="FFFF9900"/>
      <rgbColor rgb="FFFF6600"/>
      <rgbColor rgb="FF6B7189"/>
      <rgbColor rgb="FF969696"/>
      <rgbColor rgb="FF0B1F44"/>
      <rgbColor rgb="FF339966"/>
      <rgbColor rgb="FF003300"/>
      <rgbColor rgb="FF333300"/>
      <rgbColor rgb="FF993300"/>
      <rgbColor rgb="FF993366"/>
      <rgbColor rgb="FF1E3F8F"/>
      <rgbColor rgb="FF4A506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'Pricing Summary'!$A$15</c:f>
              <c:strCache>
                <c:ptCount val="1"/>
                <c:pt idx="0">
                  <c:v>Implementation (INR crore)</c:v>
                </c:pt>
              </c:strCache>
            </c:strRef>
          </c:tx>
          <c:spPr>
            <a:solidFill>
              <a:srgbClr val="0B1F4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anchorCtr="1"/>
              <a:lstStyle/>
              <a:p>
                <a:pPr>
                  <a:defRPr sz="900" b="1" strike="noStrike" spc="-1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'Pricing Summary'!$B$9:$F$9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'Pricing Summary'!$B$15:$F$15</c:f>
              <c:numCache>
                <c:formatCode>0.00</c:formatCode>
                <c:ptCount val="5"/>
                <c:pt idx="0">
                  <c:v>10.5305</c:v>
                </c:pt>
                <c:pt idx="1">
                  <c:v>5.82</c:v>
                </c:pt>
                <c:pt idx="2">
                  <c:v>2.7450000000000001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E2-4816-BDE3-3C509D37937E}"/>
            </c:ext>
          </c:extLst>
        </c:ser>
        <c:ser>
          <c:idx val="1"/>
          <c:order val="1"/>
          <c:tx>
            <c:strRef>
              <c:f>'Pricing Summary'!$A$16</c:f>
              <c:strCache>
                <c:ptCount val="1"/>
                <c:pt idx="0">
                  <c:v>Subscription (INR crore)</c:v>
                </c:pt>
              </c:strCache>
            </c:strRef>
          </c:tx>
          <c:spPr>
            <a:solidFill>
              <a:srgbClr val="B8862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anchorCtr="1"/>
              <a:lstStyle/>
              <a:p>
                <a:pPr>
                  <a:defRPr sz="900" b="1" strike="noStrike" spc="-1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'Pricing Summary'!$B$9:$F$9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'Pricing Summary'!$B$16:$F$16</c:f>
              <c:numCache>
                <c:formatCode>0.00</c:formatCode>
                <c:ptCount val="5"/>
                <c:pt idx="0">
                  <c:v>2.2050000000000001</c:v>
                </c:pt>
                <c:pt idx="1">
                  <c:v>7.875</c:v>
                </c:pt>
                <c:pt idx="2">
                  <c:v>9.4499999999999993</c:v>
                </c:pt>
                <c:pt idx="3">
                  <c:v>9.9224999999999994</c:v>
                </c:pt>
                <c:pt idx="4">
                  <c:v>9.9224999999999994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E2-4816-BDE3-3C509D379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22394047"/>
        <c:axId val="64844617"/>
      </c:barChart>
      <c:catAx>
        <c:axId val="2239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4844617"/>
        <c:crosses val="autoZero"/>
        <c:auto val="1"/>
        <c:lblAlgn val="ctr"/>
        <c:lblOffset val="100"/>
        <c:noMultiLvlLbl val="0"/>
      </c:catAx>
      <c:valAx>
        <c:axId val="64844617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39404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 anchorCtr="1"/>
        <a:lstStyle/>
        <a:p>
          <a:pPr>
            <a:defRPr sz="1000" b="0" strike="noStrike" spc="-1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7</xdr:col>
      <xdr:colOff>156240</xdr:colOff>
      <xdr:row>39</xdr:row>
      <xdr:rowOff>114840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1F44"/>
  </sheetPr>
  <dimension ref="A1:I109"/>
  <sheetViews>
    <sheetView showGridLines="0" workbookViewId="0"/>
  </sheetViews>
  <sheetFormatPr defaultColWidth="8.6640625" defaultRowHeight="14.25" x14ac:dyDescent="0.45"/>
  <cols>
    <col min="1" max="1" width="62" customWidth="1"/>
    <col min="2" max="6" width="15" customWidth="1"/>
    <col min="7" max="9" width="14" customWidth="1"/>
  </cols>
  <sheetData>
    <row r="1" spans="1:9" ht="33.75" customHeight="1" x14ac:dyDescent="0.45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1.75" customHeight="1" x14ac:dyDescent="0.45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ht="3.75" customHeight="1" x14ac:dyDescent="0.45">
      <c r="A3" s="18"/>
      <c r="B3" s="18"/>
      <c r="C3" s="18"/>
      <c r="D3" s="18"/>
      <c r="E3" s="18"/>
      <c r="F3" s="18"/>
      <c r="G3" s="18"/>
      <c r="H3" s="18"/>
      <c r="I3" s="18"/>
    </row>
    <row r="4" spans="1:9" ht="7.5" customHeight="1" x14ac:dyDescent="0.45"/>
    <row r="5" spans="1:9" ht="13.5" customHeight="1" x14ac:dyDescent="0.45">
      <c r="A5" s="19" t="s">
        <v>2</v>
      </c>
      <c r="B5" s="14" t="s">
        <v>3</v>
      </c>
      <c r="C5" s="14"/>
      <c r="D5" s="14" t="s">
        <v>4</v>
      </c>
      <c r="E5" s="14"/>
      <c r="F5" s="14" t="s">
        <v>5</v>
      </c>
      <c r="G5" s="14"/>
      <c r="H5" s="14"/>
      <c r="I5" s="14"/>
    </row>
    <row r="6" spans="1:9" ht="36" customHeight="1" x14ac:dyDescent="0.45">
      <c r="A6" s="20">
        <f>'Price Proposal'!D49/10000000</f>
        <v>58.470500000000001</v>
      </c>
      <c r="B6" s="13">
        <f>'Price Proposal'!D15/10000000</f>
        <v>19.095500000000001</v>
      </c>
      <c r="C6" s="13"/>
      <c r="D6" s="13">
        <f>'Price Proposal'!D16/10000000</f>
        <v>39.375</v>
      </c>
      <c r="E6" s="13"/>
      <c r="F6" s="12">
        <f>G21</f>
        <v>30</v>
      </c>
      <c r="G6" s="12"/>
      <c r="H6" s="12"/>
      <c r="I6" s="12"/>
    </row>
    <row r="8" spans="1:9" ht="21.75" customHeight="1" x14ac:dyDescent="0.45">
      <c r="A8" s="21" t="s">
        <v>6</v>
      </c>
      <c r="B8" s="22"/>
      <c r="C8" s="22"/>
      <c r="D8" s="22"/>
      <c r="E8" s="22"/>
      <c r="F8" s="22"/>
      <c r="G8" s="22"/>
      <c r="H8" s="22"/>
      <c r="I8" s="22"/>
    </row>
    <row r="9" spans="1:9" ht="25.5" customHeight="1" x14ac:dyDescent="0.45">
      <c r="A9" s="23" t="s">
        <v>7</v>
      </c>
      <c r="B9" s="24" t="s">
        <v>8</v>
      </c>
      <c r="C9" s="24" t="s">
        <v>9</v>
      </c>
      <c r="D9" s="24" t="s">
        <v>10</v>
      </c>
      <c r="E9" s="24" t="s">
        <v>11</v>
      </c>
      <c r="F9" s="24" t="s">
        <v>12</v>
      </c>
      <c r="G9" s="11" t="s">
        <v>13</v>
      </c>
      <c r="H9" s="11"/>
      <c r="I9" s="11"/>
    </row>
    <row r="10" spans="1:9" x14ac:dyDescent="0.45">
      <c r="A10" s="25" t="s">
        <v>14</v>
      </c>
      <c r="B10" s="26">
        <f>'Price Proposal'!E15</f>
        <v>105305000</v>
      </c>
      <c r="C10" s="26">
        <f>'Price Proposal'!F15</f>
        <v>58200000</v>
      </c>
      <c r="D10" s="26">
        <f>'Price Proposal'!G15</f>
        <v>27450000</v>
      </c>
      <c r="E10" s="26">
        <f>'Price Proposal'!H15</f>
        <v>0</v>
      </c>
      <c r="F10" s="26">
        <f>'Price Proposal'!I15</f>
        <v>0</v>
      </c>
      <c r="G10" s="10">
        <f t="shared" ref="G10:G17" si="0">SUM(B10:F10)</f>
        <v>190955000</v>
      </c>
      <c r="H10" s="10"/>
      <c r="I10" s="10"/>
    </row>
    <row r="11" spans="1:9" x14ac:dyDescent="0.45">
      <c r="A11" s="28" t="s">
        <v>15</v>
      </c>
      <c r="B11" s="29">
        <f>N('Price Proposal'!E5)</f>
        <v>44180000</v>
      </c>
      <c r="C11" s="29">
        <f>N('Price Proposal'!F5)</f>
        <v>0</v>
      </c>
      <c r="D11" s="29">
        <f>N('Price Proposal'!G5)</f>
        <v>0</v>
      </c>
      <c r="E11" s="29">
        <f>N('Price Proposal'!H5)</f>
        <v>0</v>
      </c>
      <c r="F11" s="29">
        <f>N('Price Proposal'!I5)</f>
        <v>0</v>
      </c>
      <c r="G11" s="10">
        <f t="shared" si="0"/>
        <v>44180000</v>
      </c>
      <c r="H11" s="10"/>
      <c r="I11" s="10"/>
    </row>
    <row r="12" spans="1:9" x14ac:dyDescent="0.45">
      <c r="A12" s="28" t="s">
        <v>16</v>
      </c>
      <c r="B12" s="29">
        <f>B10-B11</f>
        <v>61125000</v>
      </c>
      <c r="C12" s="29">
        <f>C10-C11</f>
        <v>58200000</v>
      </c>
      <c r="D12" s="29">
        <f>D10-D11</f>
        <v>27450000</v>
      </c>
      <c r="E12" s="29">
        <f>E10-E11</f>
        <v>0</v>
      </c>
      <c r="F12" s="29">
        <f>F10-F11</f>
        <v>0</v>
      </c>
      <c r="G12" s="10">
        <f t="shared" si="0"/>
        <v>146775000</v>
      </c>
      <c r="H12" s="10"/>
      <c r="I12" s="10"/>
    </row>
    <row r="13" spans="1:9" x14ac:dyDescent="0.45">
      <c r="A13" s="25" t="s">
        <v>17</v>
      </c>
      <c r="B13" s="26">
        <f>'Price Proposal'!E16</f>
        <v>22050000</v>
      </c>
      <c r="C13" s="26">
        <f>'Price Proposal'!F16</f>
        <v>78750000</v>
      </c>
      <c r="D13" s="26">
        <f>'Price Proposal'!G16</f>
        <v>94500000</v>
      </c>
      <c r="E13" s="26">
        <f>'Price Proposal'!H16</f>
        <v>99225000</v>
      </c>
      <c r="F13" s="26">
        <f>'Price Proposal'!I16</f>
        <v>99225000</v>
      </c>
      <c r="G13" s="10">
        <f t="shared" si="0"/>
        <v>393750000</v>
      </c>
      <c r="H13" s="10"/>
      <c r="I13" s="10"/>
    </row>
    <row r="14" spans="1:9" x14ac:dyDescent="0.45">
      <c r="A14" s="30" t="s">
        <v>18</v>
      </c>
      <c r="B14" s="27">
        <f>B10+B13</f>
        <v>127355000</v>
      </c>
      <c r="C14" s="27">
        <f>C10+C13</f>
        <v>136950000</v>
      </c>
      <c r="D14" s="27">
        <f>D10+D13</f>
        <v>121950000</v>
      </c>
      <c r="E14" s="27">
        <f>E10+E13</f>
        <v>99225000</v>
      </c>
      <c r="F14" s="27">
        <f>F10+F13</f>
        <v>99225000</v>
      </c>
      <c r="G14" s="9">
        <f t="shared" si="0"/>
        <v>584705000</v>
      </c>
      <c r="H14" s="9"/>
      <c r="I14" s="9"/>
    </row>
    <row r="15" spans="1:9" x14ac:dyDescent="0.45">
      <c r="A15" s="32" t="s">
        <v>3</v>
      </c>
      <c r="B15" s="33">
        <f>B10/10000000</f>
        <v>10.5305</v>
      </c>
      <c r="C15" s="33">
        <f>C10/10000000</f>
        <v>5.82</v>
      </c>
      <c r="D15" s="33">
        <f>D10/10000000</f>
        <v>2.7450000000000001</v>
      </c>
      <c r="E15" s="33">
        <f>E10/10000000</f>
        <v>0</v>
      </c>
      <c r="F15" s="33">
        <f>F10/10000000</f>
        <v>0</v>
      </c>
      <c r="G15" s="8">
        <f t="shared" si="0"/>
        <v>19.095500000000001</v>
      </c>
      <c r="H15" s="8"/>
      <c r="I15" s="8"/>
    </row>
    <row r="16" spans="1:9" x14ac:dyDescent="0.45">
      <c r="A16" s="32" t="s">
        <v>4</v>
      </c>
      <c r="B16" s="33">
        <f t="shared" ref="B16:F17" si="1">B13/10000000</f>
        <v>2.2050000000000001</v>
      </c>
      <c r="C16" s="33">
        <f t="shared" si="1"/>
        <v>7.875</v>
      </c>
      <c r="D16" s="33">
        <f t="shared" si="1"/>
        <v>9.4499999999999993</v>
      </c>
      <c r="E16" s="33">
        <f t="shared" si="1"/>
        <v>9.9224999999999994</v>
      </c>
      <c r="F16" s="33">
        <f t="shared" si="1"/>
        <v>9.9224999999999994</v>
      </c>
      <c r="G16" s="8">
        <f t="shared" si="0"/>
        <v>39.375</v>
      </c>
      <c r="H16" s="8"/>
      <c r="I16" s="8"/>
    </row>
    <row r="17" spans="1:9" x14ac:dyDescent="0.45">
      <c r="A17" s="25" t="s">
        <v>19</v>
      </c>
      <c r="B17" s="35">
        <f t="shared" si="1"/>
        <v>12.7355</v>
      </c>
      <c r="C17" s="35">
        <f t="shared" si="1"/>
        <v>13.695</v>
      </c>
      <c r="D17" s="35">
        <f t="shared" si="1"/>
        <v>12.195</v>
      </c>
      <c r="E17" s="35">
        <f t="shared" si="1"/>
        <v>9.9224999999999994</v>
      </c>
      <c r="F17" s="35">
        <f t="shared" si="1"/>
        <v>9.9224999999999994</v>
      </c>
      <c r="G17" s="8">
        <f t="shared" si="0"/>
        <v>58.470500000000001</v>
      </c>
      <c r="H17" s="8"/>
      <c r="I17" s="8"/>
    </row>
    <row r="18" spans="1:9" x14ac:dyDescent="0.45">
      <c r="A18" s="32" t="s">
        <v>20</v>
      </c>
      <c r="B18" s="33">
        <f>SUM($B$17:B17)</f>
        <v>12.7355</v>
      </c>
      <c r="C18" s="33">
        <f>SUM($B$17:C17)</f>
        <v>26.430500000000002</v>
      </c>
      <c r="D18" s="33">
        <f>SUM($B$17:D17)</f>
        <v>38.625500000000002</v>
      </c>
      <c r="E18" s="33">
        <f>SUM($B$17:E17)</f>
        <v>48.548000000000002</v>
      </c>
      <c r="F18" s="33">
        <f>SUM($B$17:F17)</f>
        <v>58.470500000000001</v>
      </c>
      <c r="G18" s="8">
        <f>F18</f>
        <v>58.470500000000001</v>
      </c>
      <c r="H18" s="8"/>
      <c r="I18" s="8"/>
    </row>
    <row r="19" spans="1:9" ht="21.75" customHeight="1" x14ac:dyDescent="0.45">
      <c r="A19" s="21" t="s">
        <v>21</v>
      </c>
      <c r="B19" s="22"/>
      <c r="C19" s="22"/>
      <c r="D19" s="22"/>
      <c r="E19" s="22"/>
      <c r="F19" s="22"/>
      <c r="G19" s="22"/>
      <c r="H19" s="22"/>
      <c r="I19" s="22"/>
    </row>
    <row r="20" spans="1:9" ht="25.5" customHeight="1" x14ac:dyDescent="0.45">
      <c r="A20" s="23"/>
      <c r="B20" s="24" t="s">
        <v>8</v>
      </c>
      <c r="C20" s="24" t="s">
        <v>9</v>
      </c>
      <c r="D20" s="24" t="s">
        <v>10</v>
      </c>
      <c r="E20" s="24" t="s">
        <v>11</v>
      </c>
      <c r="F20" s="24" t="s">
        <v>12</v>
      </c>
      <c r="G20" s="11" t="s">
        <v>22</v>
      </c>
      <c r="H20" s="11"/>
      <c r="I20" s="11"/>
    </row>
    <row r="21" spans="1:9" ht="18" customHeight="1" x14ac:dyDescent="0.45">
      <c r="A21" s="32" t="s">
        <v>23</v>
      </c>
      <c r="B21" s="36">
        <f>COUNTIF('Price Proposal'!$B$19:$B$48,1)</f>
        <v>7</v>
      </c>
      <c r="C21" s="36">
        <f>COUNTIF('Price Proposal'!$B$19:$B$48,2)</f>
        <v>18</v>
      </c>
      <c r="D21" s="36">
        <f>COUNTIF('Price Proposal'!$B$19:$B$48,3)</f>
        <v>5</v>
      </c>
      <c r="E21" s="36">
        <f>COUNTIF('Price Proposal'!$B$19:$B$48,4)</f>
        <v>0</v>
      </c>
      <c r="F21" s="36">
        <f>COUNTIF('Price Proposal'!$B$19:$B$48,5)</f>
        <v>0</v>
      </c>
      <c r="G21" s="7">
        <f>SUM(B21:F21)</f>
        <v>30</v>
      </c>
      <c r="H21" s="7"/>
      <c r="I21" s="7"/>
    </row>
    <row r="22" spans="1:9" x14ac:dyDescent="0.45">
      <c r="A22" s="32" t="s">
        <v>5</v>
      </c>
      <c r="B22" s="37" t="str">
        <f>IFERROR("BU "&amp;MATCH(1,'Price Proposal'!$B$19:$B$48,0)&amp;" to "&amp;(MATCH(1,'Price Proposal'!$B$19:$B$48,0)+COUNTIF('Price Proposal'!$B$19:$B$48,1)-1),"-")</f>
        <v>BU 1 to 7</v>
      </c>
      <c r="C22" s="37" t="str">
        <f>IFERROR("BU "&amp;MATCH(2,'Price Proposal'!$B$19:$B$48,0)&amp;" to "&amp;(MATCH(2,'Price Proposal'!$B$19:$B$48,0)+COUNTIF('Price Proposal'!$B$19:$B$48,2)-1),"-")</f>
        <v>BU 8 to 25</v>
      </c>
      <c r="D22" s="37" t="str">
        <f>IFERROR("BU "&amp;MATCH(3,'Price Proposal'!$B$19:$B$48,0)&amp;" to "&amp;(MATCH(3,'Price Proposal'!$B$19:$B$48,0)+COUNTIF('Price Proposal'!$B$19:$B$48,3)-1),"-")</f>
        <v>BU 26 to 30</v>
      </c>
      <c r="E22" s="37" t="str">
        <f>IFERROR("BU "&amp;MATCH(4,'Price Proposal'!$B$19:$B$48,0)&amp;" to "&amp;(MATCH(4,'Price Proposal'!$B$19:$B$48,0)+COUNTIF('Price Proposal'!$B$19:$B$48,4)-1),"-")</f>
        <v>-</v>
      </c>
      <c r="F22" s="37" t="str">
        <f>IFERROR("BU "&amp;MATCH(5,'Price Proposal'!$B$19:$B$48,0)&amp;" to "&amp;(MATCH(5,'Price Proposal'!$B$19:$B$48,0)+COUNTIF('Price Proposal'!$B$19:$B$48,5)-1),"-")</f>
        <v>-</v>
      </c>
      <c r="G22" s="6" t="s">
        <v>24</v>
      </c>
      <c r="H22" s="6"/>
      <c r="I22" s="6"/>
    </row>
    <row r="23" spans="1:9" x14ac:dyDescent="0.45">
      <c r="A23" s="32" t="s">
        <v>25</v>
      </c>
      <c r="B23" s="38">
        <f>COUNTIF('Price Proposal'!$B$19:$B$48,"&lt;="&amp;1)</f>
        <v>7</v>
      </c>
      <c r="C23" s="38">
        <f>COUNTIF('Price Proposal'!$B$19:$B$48,"&lt;="&amp;2)</f>
        <v>25</v>
      </c>
      <c r="D23" s="38">
        <f>COUNTIF('Price Proposal'!$B$19:$B$48,"&lt;="&amp;3)</f>
        <v>30</v>
      </c>
      <c r="E23" s="38">
        <f>COUNTIF('Price Proposal'!$B$19:$B$48,"&lt;="&amp;4)</f>
        <v>30</v>
      </c>
      <c r="F23" s="38">
        <f>COUNTIF('Price Proposal'!$B$19:$B$48,"&lt;="&amp;5)</f>
        <v>30</v>
      </c>
      <c r="G23" s="7">
        <f>F23</f>
        <v>30</v>
      </c>
      <c r="H23" s="7"/>
      <c r="I23" s="7"/>
    </row>
    <row r="24" spans="1:9" x14ac:dyDescent="0.45">
      <c r="A24" s="32" t="s">
        <v>26</v>
      </c>
      <c r="B24" s="39">
        <f>'Price Proposal'!$L$5*IF(1&gt;='Price Proposal'!$L$7,1+'Price Proposal'!$L$6,1)</f>
        <v>3150000</v>
      </c>
      <c r="C24" s="39">
        <f>'Price Proposal'!$L$5*IF(2&gt;='Price Proposal'!$L$7,1+'Price Proposal'!$L$6,1)</f>
        <v>3150000</v>
      </c>
      <c r="D24" s="39">
        <f>'Price Proposal'!$L$5*IF(3&gt;='Price Proposal'!$L$7,1+'Price Proposal'!$L$6,1)</f>
        <v>3150000</v>
      </c>
      <c r="E24" s="39">
        <f>'Price Proposal'!$L$5*IF(4&gt;='Price Proposal'!$L$7,1+'Price Proposal'!$L$6,1)</f>
        <v>3307500</v>
      </c>
      <c r="F24" s="39">
        <f>'Price Proposal'!$L$5*IF(5&gt;='Price Proposal'!$L$7,1+'Price Proposal'!$L$6,1)</f>
        <v>3307500</v>
      </c>
      <c r="G24" s="5" t="s">
        <v>27</v>
      </c>
      <c r="H24" s="5"/>
      <c r="I24" s="5"/>
    </row>
    <row r="26" spans="1:9" ht="21.75" customHeight="1" x14ac:dyDescent="0.45">
      <c r="A26" s="21" t="s">
        <v>28</v>
      </c>
      <c r="B26" s="22"/>
      <c r="C26" s="22"/>
      <c r="D26" s="22"/>
      <c r="E26" s="22"/>
      <c r="F26" s="22"/>
      <c r="G26" s="22"/>
      <c r="H26" s="22"/>
      <c r="I26" s="22"/>
    </row>
    <row r="43" spans="1:9" ht="21.75" customHeight="1" x14ac:dyDescent="0.45">
      <c r="A43" s="21" t="s">
        <v>29</v>
      </c>
      <c r="B43" s="22"/>
      <c r="C43" s="22"/>
      <c r="D43" s="22"/>
      <c r="E43" s="22"/>
      <c r="F43" s="22"/>
      <c r="G43" s="22"/>
      <c r="H43" s="22"/>
      <c r="I43" s="22"/>
    </row>
    <row r="44" spans="1:9" ht="25.5" customHeight="1" x14ac:dyDescent="0.45">
      <c r="A44" s="23" t="s">
        <v>30</v>
      </c>
      <c r="B44" s="24" t="s">
        <v>31</v>
      </c>
      <c r="C44" s="24" t="s">
        <v>32</v>
      </c>
      <c r="D44" s="24" t="s">
        <v>33</v>
      </c>
      <c r="E44" s="11" t="s">
        <v>34</v>
      </c>
      <c r="F44" s="11"/>
      <c r="G44" s="11"/>
      <c r="H44" s="11"/>
      <c r="I44" s="11"/>
    </row>
    <row r="45" spans="1:9" ht="27.75" customHeight="1" x14ac:dyDescent="0.45">
      <c r="A45" s="40" t="str">
        <f>'Price Proposal'!A5</f>
        <v>Basic Platform &amp; Customization (One Time) for 1st BU</v>
      </c>
      <c r="B45" s="38">
        <f>'Price Proposal'!B5</f>
        <v>1</v>
      </c>
      <c r="C45" s="41">
        <f>'Price Proposal'!C5</f>
        <v>44180000</v>
      </c>
      <c r="D45" s="41">
        <f>'Price Proposal'!D5</f>
        <v>44180000</v>
      </c>
      <c r="E45" s="4" t="s">
        <v>35</v>
      </c>
      <c r="F45" s="4"/>
      <c r="G45" s="4"/>
      <c r="H45" s="4"/>
      <c r="I45" s="4"/>
    </row>
    <row r="46" spans="1:9" ht="27.75" customHeight="1" x14ac:dyDescent="0.45">
      <c r="A46" s="40" t="str">
        <f>'Price Proposal'!A6</f>
        <v>Project Governance &amp; Transformation PMO (External) - 3 Resources - 9 Months (27 Person Months)</v>
      </c>
      <c r="B46" s="38">
        <f>'Price Proposal'!B6</f>
        <v>27</v>
      </c>
      <c r="C46" s="41">
        <f>'Price Proposal'!C6</f>
        <v>575000</v>
      </c>
      <c r="D46" s="41">
        <f>'Price Proposal'!D6</f>
        <v>15525000</v>
      </c>
      <c r="E46" s="4" t="s">
        <v>36</v>
      </c>
      <c r="F46" s="4"/>
      <c r="G46" s="4"/>
      <c r="H46" s="4"/>
      <c r="I46" s="4"/>
    </row>
    <row r="47" spans="1:9" ht="27.75" customHeight="1" x14ac:dyDescent="0.45">
      <c r="A47" s="40" t="str">
        <f>'Price Proposal'!A7</f>
        <v>SAFAL Project Managers - 3 Resources - 24 Months (72 Person Months)</v>
      </c>
      <c r="B47" s="38">
        <f>'Price Proposal'!B7</f>
        <v>72</v>
      </c>
      <c r="C47" s="41">
        <f>'Price Proposal'!C7</f>
        <v>350000</v>
      </c>
      <c r="D47" s="41">
        <f>'Price Proposal'!D7</f>
        <v>25200000</v>
      </c>
      <c r="E47" s="4" t="s">
        <v>37</v>
      </c>
      <c r="F47" s="4"/>
      <c r="G47" s="4"/>
      <c r="H47" s="4"/>
      <c r="I47" s="4"/>
    </row>
    <row r="48" spans="1:9" ht="27.75" customHeight="1" x14ac:dyDescent="0.45">
      <c r="A48" s="40" t="str">
        <f>'Price Proposal'!A8</f>
        <v>SAFAL Project Coordinators - 6 Resources - 24 Months (144 Person Months)</v>
      </c>
      <c r="B48" s="38">
        <f>'Price Proposal'!B8</f>
        <v>144</v>
      </c>
      <c r="C48" s="41">
        <f>'Price Proposal'!C8</f>
        <v>175000</v>
      </c>
      <c r="D48" s="41">
        <f>'Price Proposal'!D8</f>
        <v>25200000</v>
      </c>
      <c r="E48" s="4" t="s">
        <v>37</v>
      </c>
      <c r="F48" s="4"/>
      <c r="G48" s="4"/>
      <c r="H48" s="4"/>
      <c r="I48" s="4"/>
    </row>
    <row r="49" spans="1:9" ht="27.75" customHeight="1" x14ac:dyDescent="0.45">
      <c r="A49" s="40" t="str">
        <f>'Price Proposal'!A9</f>
        <v>SAP Integration - 4 Persons - 30 Months (120 Person Months)</v>
      </c>
      <c r="B49" s="38">
        <f>'Price Proposal'!B9</f>
        <v>120</v>
      </c>
      <c r="C49" s="41">
        <f>'Price Proposal'!C9</f>
        <v>350000</v>
      </c>
      <c r="D49" s="41">
        <f>'Price Proposal'!D9</f>
        <v>42000000</v>
      </c>
      <c r="E49" s="4" t="s">
        <v>38</v>
      </c>
      <c r="F49" s="4"/>
      <c r="G49" s="4"/>
      <c r="H49" s="4"/>
      <c r="I49" s="4"/>
    </row>
    <row r="50" spans="1:9" ht="27.75" customHeight="1" x14ac:dyDescent="0.45">
      <c r="A50" s="40" t="str">
        <f>'Price Proposal'!A10</f>
        <v>Ariba Integration - 1 Person - 24 Months (24 Person Months)</v>
      </c>
      <c r="B50" s="38">
        <f>'Price Proposal'!B10</f>
        <v>24</v>
      </c>
      <c r="C50" s="41">
        <f>'Price Proposal'!C10</f>
        <v>275000</v>
      </c>
      <c r="D50" s="41">
        <f>'Price Proposal'!D10</f>
        <v>6600000</v>
      </c>
      <c r="E50" s="4" t="s">
        <v>37</v>
      </c>
      <c r="F50" s="4"/>
      <c r="G50" s="4"/>
      <c r="H50" s="4"/>
      <c r="I50" s="4"/>
    </row>
    <row r="51" spans="1:9" ht="27.75" customHeight="1" x14ac:dyDescent="0.45">
      <c r="A51" s="40" t="str">
        <f>'Price Proposal'!A11</f>
        <v>Lead Architect &amp; Cloud Hosting - 1 Person - 30 Months (30 Person Months)</v>
      </c>
      <c r="B51" s="38">
        <f>'Price Proposal'!B11</f>
        <v>30</v>
      </c>
      <c r="C51" s="41">
        <f>'Price Proposal'!C11</f>
        <v>525000</v>
      </c>
      <c r="D51" s="41">
        <f>'Price Proposal'!D11</f>
        <v>15750000</v>
      </c>
      <c r="E51" s="4" t="s">
        <v>38</v>
      </c>
      <c r="F51" s="4"/>
      <c r="G51" s="4"/>
      <c r="H51" s="4"/>
      <c r="I51" s="4"/>
    </row>
    <row r="52" spans="1:9" ht="27.75" customHeight="1" x14ac:dyDescent="0.45">
      <c r="A52" s="40" t="str">
        <f>'Price Proposal'!A12</f>
        <v>Other Integrations REST APIs - 2 Persons - 30 Months (60 Person Months)</v>
      </c>
      <c r="B52" s="38">
        <f>'Price Proposal'!B12</f>
        <v>60</v>
      </c>
      <c r="C52" s="41">
        <f>'Price Proposal'!C12</f>
        <v>275000</v>
      </c>
      <c r="D52" s="41">
        <f>'Price Proposal'!D12</f>
        <v>16500000</v>
      </c>
      <c r="E52" s="4" t="s">
        <v>38</v>
      </c>
      <c r="F52" s="4"/>
      <c r="G52" s="4"/>
      <c r="H52" s="4"/>
      <c r="I52" s="4"/>
    </row>
    <row r="53" spans="1:9" ht="27.75" customHeight="1" x14ac:dyDescent="0.45">
      <c r="A53" s="40" t="str">
        <f>'Price Proposal'!A13</f>
        <v>UAT, SIT and Go-Live Training (Ahmedabad Location): included</v>
      </c>
      <c r="B53" s="38" t="str">
        <f>'Price Proposal'!B13</f>
        <v>-</v>
      </c>
      <c r="C53" s="41" t="str">
        <f>'Price Proposal'!C13</f>
        <v>-</v>
      </c>
      <c r="D53" s="41" t="str">
        <f>'Price Proposal'!D13</f>
        <v>-</v>
      </c>
      <c r="E53" s="4" t="s">
        <v>39</v>
      </c>
      <c r="F53" s="4"/>
      <c r="G53" s="4"/>
      <c r="H53" s="4"/>
      <c r="I53" s="4"/>
    </row>
    <row r="54" spans="1:9" ht="27.75" customHeight="1" x14ac:dyDescent="0.45">
      <c r="A54" s="40" t="str">
        <f>'Price Proposal'!A14</f>
        <v>Hypercare Support from Ahmedabad Location (60 Days): included</v>
      </c>
      <c r="B54" s="38" t="str">
        <f>'Price Proposal'!B14</f>
        <v>-</v>
      </c>
      <c r="C54" s="41" t="str">
        <f>'Price Proposal'!C14</f>
        <v>-</v>
      </c>
      <c r="D54" s="41" t="str">
        <f>'Price Proposal'!D14</f>
        <v>-</v>
      </c>
      <c r="E54" s="4" t="s">
        <v>40</v>
      </c>
      <c r="F54" s="4"/>
      <c r="G54" s="4"/>
      <c r="H54" s="4"/>
      <c r="I54" s="4"/>
    </row>
    <row r="55" spans="1:9" x14ac:dyDescent="0.45">
      <c r="A55" s="30" t="s">
        <v>41</v>
      </c>
      <c r="B55" s="42"/>
      <c r="C55" s="42"/>
      <c r="D55" s="43">
        <f>'Price Proposal'!D15</f>
        <v>190955000</v>
      </c>
      <c r="E55" s="3" t="str">
        <f>IF(ABS(D55-G10)&lt;1,"","check")</f>
        <v/>
      </c>
      <c r="F55" s="3"/>
      <c r="G55" s="3"/>
      <c r="H55" s="3"/>
      <c r="I55" s="3"/>
    </row>
    <row r="57" spans="1:9" ht="21.75" customHeight="1" x14ac:dyDescent="0.45">
      <c r="A57" s="21" t="s">
        <v>42</v>
      </c>
      <c r="B57" s="22"/>
      <c r="C57" s="22"/>
      <c r="D57" s="22"/>
      <c r="E57" s="22"/>
      <c r="F57" s="22"/>
      <c r="G57" s="22"/>
      <c r="H57" s="22"/>
      <c r="I57" s="22"/>
    </row>
    <row r="58" spans="1:9" ht="39.75" customHeight="1" x14ac:dyDescent="0.45">
      <c r="A58" s="23" t="s">
        <v>43</v>
      </c>
      <c r="B58" s="24" t="s">
        <v>44</v>
      </c>
      <c r="C58" s="24" t="s">
        <v>45</v>
      </c>
      <c r="D58" s="24" t="s">
        <v>46</v>
      </c>
      <c r="E58" s="24" t="s">
        <v>8</v>
      </c>
      <c r="F58" s="24" t="s">
        <v>9</v>
      </c>
      <c r="G58" s="24" t="s">
        <v>10</v>
      </c>
      <c r="H58" s="24" t="s">
        <v>11</v>
      </c>
      <c r="I58" s="24" t="s">
        <v>12</v>
      </c>
    </row>
    <row r="59" spans="1:9" x14ac:dyDescent="0.45">
      <c r="A59" s="32" t="str">
        <f>'Price Proposal'!A19</f>
        <v>Business Unit 1</v>
      </c>
      <c r="B59" s="38">
        <f>'Price Proposal'!B19</f>
        <v>1</v>
      </c>
      <c r="C59" s="39">
        <f>'Price Proposal'!C19</f>
        <v>3150000</v>
      </c>
      <c r="D59" s="26">
        <f>'Price Proposal'!D19</f>
        <v>16065000</v>
      </c>
      <c r="E59" s="39">
        <f>IF('Price Proposal'!E19="","",'Price Proposal'!E19)</f>
        <v>3150000</v>
      </c>
      <c r="F59" s="39">
        <f>IF('Price Proposal'!F19="","",'Price Proposal'!F19)</f>
        <v>3150000</v>
      </c>
      <c r="G59" s="39">
        <f>IF('Price Proposal'!G19="","",'Price Proposal'!G19)</f>
        <v>3150000</v>
      </c>
      <c r="H59" s="39">
        <f>IF('Price Proposal'!H19="","",'Price Proposal'!H19)</f>
        <v>3307500</v>
      </c>
      <c r="I59" s="39">
        <f>IF('Price Proposal'!I19="","",'Price Proposal'!I19)</f>
        <v>3307500</v>
      </c>
    </row>
    <row r="60" spans="1:9" x14ac:dyDescent="0.45">
      <c r="A60" s="32" t="str">
        <f>'Price Proposal'!A20</f>
        <v>Business Unit 2</v>
      </c>
      <c r="B60" s="38">
        <f>'Price Proposal'!B20</f>
        <v>1</v>
      </c>
      <c r="C60" s="39">
        <f>'Price Proposal'!C20</f>
        <v>3150000</v>
      </c>
      <c r="D60" s="26">
        <f>'Price Proposal'!D20</f>
        <v>16065000</v>
      </c>
      <c r="E60" s="39">
        <f>IF('Price Proposal'!E20="","",'Price Proposal'!E20)</f>
        <v>3150000</v>
      </c>
      <c r="F60" s="39">
        <f>IF('Price Proposal'!F20="","",'Price Proposal'!F20)</f>
        <v>3150000</v>
      </c>
      <c r="G60" s="39">
        <f>IF('Price Proposal'!G20="","",'Price Proposal'!G20)</f>
        <v>3150000</v>
      </c>
      <c r="H60" s="39">
        <f>IF('Price Proposal'!H20="","",'Price Proposal'!H20)</f>
        <v>3307500</v>
      </c>
      <c r="I60" s="39">
        <f>IF('Price Proposal'!I20="","",'Price Proposal'!I20)</f>
        <v>3307500</v>
      </c>
    </row>
    <row r="61" spans="1:9" x14ac:dyDescent="0.45">
      <c r="A61" s="32" t="str">
        <f>'Price Proposal'!A21</f>
        <v>Business Unit 3</v>
      </c>
      <c r="B61" s="38">
        <f>'Price Proposal'!B21</f>
        <v>1</v>
      </c>
      <c r="C61" s="39">
        <f>'Price Proposal'!C21</f>
        <v>3150000</v>
      </c>
      <c r="D61" s="26">
        <f>'Price Proposal'!D21</f>
        <v>16065000</v>
      </c>
      <c r="E61" s="39">
        <f>IF('Price Proposal'!E21="","",'Price Proposal'!E21)</f>
        <v>3150000</v>
      </c>
      <c r="F61" s="39">
        <f>IF('Price Proposal'!F21="","",'Price Proposal'!F21)</f>
        <v>3150000</v>
      </c>
      <c r="G61" s="39">
        <f>IF('Price Proposal'!G21="","",'Price Proposal'!G21)</f>
        <v>3150000</v>
      </c>
      <c r="H61" s="39">
        <f>IF('Price Proposal'!H21="","",'Price Proposal'!H21)</f>
        <v>3307500</v>
      </c>
      <c r="I61" s="39">
        <f>IF('Price Proposal'!I21="","",'Price Proposal'!I21)</f>
        <v>3307500</v>
      </c>
    </row>
    <row r="62" spans="1:9" x14ac:dyDescent="0.45">
      <c r="A62" s="32" t="str">
        <f>'Price Proposal'!A22</f>
        <v>Business Unit 4</v>
      </c>
      <c r="B62" s="38">
        <f>'Price Proposal'!B22</f>
        <v>1</v>
      </c>
      <c r="C62" s="39">
        <f>'Price Proposal'!C22</f>
        <v>3150000</v>
      </c>
      <c r="D62" s="26">
        <f>'Price Proposal'!D22</f>
        <v>16065000</v>
      </c>
      <c r="E62" s="39">
        <f>IF('Price Proposal'!E22="","",'Price Proposal'!E22)</f>
        <v>3150000</v>
      </c>
      <c r="F62" s="39">
        <f>IF('Price Proposal'!F22="","",'Price Proposal'!F22)</f>
        <v>3150000</v>
      </c>
      <c r="G62" s="39">
        <f>IF('Price Proposal'!G22="","",'Price Proposal'!G22)</f>
        <v>3150000</v>
      </c>
      <c r="H62" s="39">
        <f>IF('Price Proposal'!H22="","",'Price Proposal'!H22)</f>
        <v>3307500</v>
      </c>
      <c r="I62" s="39">
        <f>IF('Price Proposal'!I22="","",'Price Proposal'!I22)</f>
        <v>3307500</v>
      </c>
    </row>
    <row r="63" spans="1:9" x14ac:dyDescent="0.45">
      <c r="A63" s="32" t="str">
        <f>'Price Proposal'!A23</f>
        <v>Business Unit 5</v>
      </c>
      <c r="B63" s="38">
        <f>'Price Proposal'!B23</f>
        <v>1</v>
      </c>
      <c r="C63" s="39">
        <f>'Price Proposal'!C23</f>
        <v>3150000</v>
      </c>
      <c r="D63" s="26">
        <f>'Price Proposal'!D23</f>
        <v>16065000</v>
      </c>
      <c r="E63" s="39">
        <f>IF('Price Proposal'!E23="","",'Price Proposal'!E23)</f>
        <v>3150000</v>
      </c>
      <c r="F63" s="39">
        <f>IF('Price Proposal'!F23="","",'Price Proposal'!F23)</f>
        <v>3150000</v>
      </c>
      <c r="G63" s="39">
        <f>IF('Price Proposal'!G23="","",'Price Proposal'!G23)</f>
        <v>3150000</v>
      </c>
      <c r="H63" s="39">
        <f>IF('Price Proposal'!H23="","",'Price Proposal'!H23)</f>
        <v>3307500</v>
      </c>
      <c r="I63" s="39">
        <f>IF('Price Proposal'!I23="","",'Price Proposal'!I23)</f>
        <v>3307500</v>
      </c>
    </row>
    <row r="64" spans="1:9" x14ac:dyDescent="0.45">
      <c r="A64" s="32" t="str">
        <f>'Price Proposal'!A24</f>
        <v>Business Unit 6</v>
      </c>
      <c r="B64" s="38">
        <f>'Price Proposal'!B24</f>
        <v>1</v>
      </c>
      <c r="C64" s="39">
        <f>'Price Proposal'!C24</f>
        <v>3150000</v>
      </c>
      <c r="D64" s="26">
        <f>'Price Proposal'!D24</f>
        <v>16065000</v>
      </c>
      <c r="E64" s="39">
        <f>IF('Price Proposal'!E24="","",'Price Proposal'!E24)</f>
        <v>3150000</v>
      </c>
      <c r="F64" s="39">
        <f>IF('Price Proposal'!F24="","",'Price Proposal'!F24)</f>
        <v>3150000</v>
      </c>
      <c r="G64" s="39">
        <f>IF('Price Proposal'!G24="","",'Price Proposal'!G24)</f>
        <v>3150000</v>
      </c>
      <c r="H64" s="39">
        <f>IF('Price Proposal'!H24="","",'Price Proposal'!H24)</f>
        <v>3307500</v>
      </c>
      <c r="I64" s="39">
        <f>IF('Price Proposal'!I24="","",'Price Proposal'!I24)</f>
        <v>3307500</v>
      </c>
    </row>
    <row r="65" spans="1:9" x14ac:dyDescent="0.45">
      <c r="A65" s="32" t="str">
        <f>'Price Proposal'!A25</f>
        <v>Business Unit 7</v>
      </c>
      <c r="B65" s="38">
        <f>'Price Proposal'!B25</f>
        <v>1</v>
      </c>
      <c r="C65" s="39">
        <f>'Price Proposal'!C25</f>
        <v>3150000</v>
      </c>
      <c r="D65" s="26">
        <f>'Price Proposal'!D25</f>
        <v>16065000</v>
      </c>
      <c r="E65" s="39">
        <f>IF('Price Proposal'!E25="","",'Price Proposal'!E25)</f>
        <v>3150000</v>
      </c>
      <c r="F65" s="39">
        <f>IF('Price Proposal'!F25="","",'Price Proposal'!F25)</f>
        <v>3150000</v>
      </c>
      <c r="G65" s="39">
        <f>IF('Price Proposal'!G25="","",'Price Proposal'!G25)</f>
        <v>3150000</v>
      </c>
      <c r="H65" s="39">
        <f>IF('Price Proposal'!H25="","",'Price Proposal'!H25)</f>
        <v>3307500</v>
      </c>
      <c r="I65" s="39">
        <f>IF('Price Proposal'!I25="","",'Price Proposal'!I25)</f>
        <v>3307500</v>
      </c>
    </row>
    <row r="66" spans="1:9" x14ac:dyDescent="0.45">
      <c r="A66" s="32" t="str">
        <f>'Price Proposal'!A26</f>
        <v>Business Unit 8</v>
      </c>
      <c r="B66" s="38">
        <f>'Price Proposal'!B26</f>
        <v>2</v>
      </c>
      <c r="C66" s="39">
        <f>'Price Proposal'!C26</f>
        <v>3150000</v>
      </c>
      <c r="D66" s="26">
        <f>'Price Proposal'!D26</f>
        <v>12915000</v>
      </c>
      <c r="E66" s="39" t="str">
        <f>IF('Price Proposal'!E26="","",'Price Proposal'!E26)</f>
        <v/>
      </c>
      <c r="F66" s="39">
        <f>IF('Price Proposal'!F26="","",'Price Proposal'!F26)</f>
        <v>3150000</v>
      </c>
      <c r="G66" s="39">
        <f>IF('Price Proposal'!G26="","",'Price Proposal'!G26)</f>
        <v>3150000</v>
      </c>
      <c r="H66" s="39">
        <f>IF('Price Proposal'!H26="","",'Price Proposal'!H26)</f>
        <v>3307500</v>
      </c>
      <c r="I66" s="39">
        <f>IF('Price Proposal'!I26="","",'Price Proposal'!I26)</f>
        <v>3307500</v>
      </c>
    </row>
    <row r="67" spans="1:9" x14ac:dyDescent="0.45">
      <c r="A67" s="32" t="str">
        <f>'Price Proposal'!A27</f>
        <v>Business Unit 9</v>
      </c>
      <c r="B67" s="38">
        <f>'Price Proposal'!B27</f>
        <v>2</v>
      </c>
      <c r="C67" s="39">
        <f>'Price Proposal'!C27</f>
        <v>3150000</v>
      </c>
      <c r="D67" s="26">
        <f>'Price Proposal'!D27</f>
        <v>12915000</v>
      </c>
      <c r="E67" s="39" t="str">
        <f>IF('Price Proposal'!E27="","",'Price Proposal'!E27)</f>
        <v/>
      </c>
      <c r="F67" s="39">
        <f>IF('Price Proposal'!F27="","",'Price Proposal'!F27)</f>
        <v>3150000</v>
      </c>
      <c r="G67" s="39">
        <f>IF('Price Proposal'!G27="","",'Price Proposal'!G27)</f>
        <v>3150000</v>
      </c>
      <c r="H67" s="39">
        <f>IF('Price Proposal'!H27="","",'Price Proposal'!H27)</f>
        <v>3307500</v>
      </c>
      <c r="I67" s="39">
        <f>IF('Price Proposal'!I27="","",'Price Proposal'!I27)</f>
        <v>3307500</v>
      </c>
    </row>
    <row r="68" spans="1:9" x14ac:dyDescent="0.45">
      <c r="A68" s="32" t="str">
        <f>'Price Proposal'!A28</f>
        <v>Business Unit 10</v>
      </c>
      <c r="B68" s="38">
        <f>'Price Proposal'!B28</f>
        <v>2</v>
      </c>
      <c r="C68" s="39">
        <f>'Price Proposal'!C28</f>
        <v>3150000</v>
      </c>
      <c r="D68" s="26">
        <f>'Price Proposal'!D28</f>
        <v>12915000</v>
      </c>
      <c r="E68" s="39" t="str">
        <f>IF('Price Proposal'!E28="","",'Price Proposal'!E28)</f>
        <v/>
      </c>
      <c r="F68" s="39">
        <f>IF('Price Proposal'!F28="","",'Price Proposal'!F28)</f>
        <v>3150000</v>
      </c>
      <c r="G68" s="39">
        <f>IF('Price Proposal'!G28="","",'Price Proposal'!G28)</f>
        <v>3150000</v>
      </c>
      <c r="H68" s="39">
        <f>IF('Price Proposal'!H28="","",'Price Proposal'!H28)</f>
        <v>3307500</v>
      </c>
      <c r="I68" s="39">
        <f>IF('Price Proposal'!I28="","",'Price Proposal'!I28)</f>
        <v>3307500</v>
      </c>
    </row>
    <row r="69" spans="1:9" x14ac:dyDescent="0.45">
      <c r="A69" s="32" t="str">
        <f>'Price Proposal'!A29</f>
        <v>Business Unit 11</v>
      </c>
      <c r="B69" s="38">
        <f>'Price Proposal'!B29</f>
        <v>2</v>
      </c>
      <c r="C69" s="39">
        <f>'Price Proposal'!C29</f>
        <v>3150000</v>
      </c>
      <c r="D69" s="26">
        <f>'Price Proposal'!D29</f>
        <v>12915000</v>
      </c>
      <c r="E69" s="39" t="str">
        <f>IF('Price Proposal'!E29="","",'Price Proposal'!E29)</f>
        <v/>
      </c>
      <c r="F69" s="39">
        <f>IF('Price Proposal'!F29="","",'Price Proposal'!F29)</f>
        <v>3150000</v>
      </c>
      <c r="G69" s="39">
        <f>IF('Price Proposal'!G29="","",'Price Proposal'!G29)</f>
        <v>3150000</v>
      </c>
      <c r="H69" s="39">
        <f>IF('Price Proposal'!H29="","",'Price Proposal'!H29)</f>
        <v>3307500</v>
      </c>
      <c r="I69" s="39">
        <f>IF('Price Proposal'!I29="","",'Price Proposal'!I29)</f>
        <v>3307500</v>
      </c>
    </row>
    <row r="70" spans="1:9" x14ac:dyDescent="0.45">
      <c r="A70" s="32" t="str">
        <f>'Price Proposal'!A30</f>
        <v>Business Unit 12</v>
      </c>
      <c r="B70" s="38">
        <f>'Price Proposal'!B30</f>
        <v>2</v>
      </c>
      <c r="C70" s="39">
        <f>'Price Proposal'!C30</f>
        <v>3150000</v>
      </c>
      <c r="D70" s="26">
        <f>'Price Proposal'!D30</f>
        <v>12915000</v>
      </c>
      <c r="E70" s="39" t="str">
        <f>IF('Price Proposal'!E30="","",'Price Proposal'!E30)</f>
        <v/>
      </c>
      <c r="F70" s="39">
        <f>IF('Price Proposal'!F30="","",'Price Proposal'!F30)</f>
        <v>3150000</v>
      </c>
      <c r="G70" s="39">
        <f>IF('Price Proposal'!G30="","",'Price Proposal'!G30)</f>
        <v>3150000</v>
      </c>
      <c r="H70" s="39">
        <f>IF('Price Proposal'!H30="","",'Price Proposal'!H30)</f>
        <v>3307500</v>
      </c>
      <c r="I70" s="39">
        <f>IF('Price Proposal'!I30="","",'Price Proposal'!I30)</f>
        <v>3307500</v>
      </c>
    </row>
    <row r="71" spans="1:9" x14ac:dyDescent="0.45">
      <c r="A71" s="32" t="str">
        <f>'Price Proposal'!A31</f>
        <v>Business Unit 13</v>
      </c>
      <c r="B71" s="38">
        <f>'Price Proposal'!B31</f>
        <v>2</v>
      </c>
      <c r="C71" s="39">
        <f>'Price Proposal'!C31</f>
        <v>3150000</v>
      </c>
      <c r="D71" s="26">
        <f>'Price Proposal'!D31</f>
        <v>12915000</v>
      </c>
      <c r="E71" s="39" t="str">
        <f>IF('Price Proposal'!E31="","",'Price Proposal'!E31)</f>
        <v/>
      </c>
      <c r="F71" s="39">
        <f>IF('Price Proposal'!F31="","",'Price Proposal'!F31)</f>
        <v>3150000</v>
      </c>
      <c r="G71" s="39">
        <f>IF('Price Proposal'!G31="","",'Price Proposal'!G31)</f>
        <v>3150000</v>
      </c>
      <c r="H71" s="39">
        <f>IF('Price Proposal'!H31="","",'Price Proposal'!H31)</f>
        <v>3307500</v>
      </c>
      <c r="I71" s="39">
        <f>IF('Price Proposal'!I31="","",'Price Proposal'!I31)</f>
        <v>3307500</v>
      </c>
    </row>
    <row r="72" spans="1:9" x14ac:dyDescent="0.45">
      <c r="A72" s="32" t="str">
        <f>'Price Proposal'!A32</f>
        <v>Business Unit 14</v>
      </c>
      <c r="B72" s="38">
        <f>'Price Proposal'!B32</f>
        <v>2</v>
      </c>
      <c r="C72" s="39">
        <f>'Price Proposal'!C32</f>
        <v>3150000</v>
      </c>
      <c r="D72" s="26">
        <f>'Price Proposal'!D32</f>
        <v>12915000</v>
      </c>
      <c r="E72" s="39" t="str">
        <f>IF('Price Proposal'!E32="","",'Price Proposal'!E32)</f>
        <v/>
      </c>
      <c r="F72" s="39">
        <f>IF('Price Proposal'!F32="","",'Price Proposal'!F32)</f>
        <v>3150000</v>
      </c>
      <c r="G72" s="39">
        <f>IF('Price Proposal'!G32="","",'Price Proposal'!G32)</f>
        <v>3150000</v>
      </c>
      <c r="H72" s="39">
        <f>IF('Price Proposal'!H32="","",'Price Proposal'!H32)</f>
        <v>3307500</v>
      </c>
      <c r="I72" s="39">
        <f>IF('Price Proposal'!I32="","",'Price Proposal'!I32)</f>
        <v>3307500</v>
      </c>
    </row>
    <row r="73" spans="1:9" x14ac:dyDescent="0.45">
      <c r="A73" s="32" t="str">
        <f>'Price Proposal'!A33</f>
        <v>Business Unit 15</v>
      </c>
      <c r="B73" s="38">
        <f>'Price Proposal'!B33</f>
        <v>2</v>
      </c>
      <c r="C73" s="39">
        <f>'Price Proposal'!C33</f>
        <v>3150000</v>
      </c>
      <c r="D73" s="26">
        <f>'Price Proposal'!D33</f>
        <v>12915000</v>
      </c>
      <c r="E73" s="39" t="str">
        <f>IF('Price Proposal'!E33="","",'Price Proposal'!E33)</f>
        <v/>
      </c>
      <c r="F73" s="39">
        <f>IF('Price Proposal'!F33="","",'Price Proposal'!F33)</f>
        <v>3150000</v>
      </c>
      <c r="G73" s="39">
        <f>IF('Price Proposal'!G33="","",'Price Proposal'!G33)</f>
        <v>3150000</v>
      </c>
      <c r="H73" s="39">
        <f>IF('Price Proposal'!H33="","",'Price Proposal'!H33)</f>
        <v>3307500</v>
      </c>
      <c r="I73" s="39">
        <f>IF('Price Proposal'!I33="","",'Price Proposal'!I33)</f>
        <v>3307500</v>
      </c>
    </row>
    <row r="74" spans="1:9" x14ac:dyDescent="0.45">
      <c r="A74" s="32" t="str">
        <f>'Price Proposal'!A34</f>
        <v>Business Unit 16</v>
      </c>
      <c r="B74" s="38">
        <f>'Price Proposal'!B34</f>
        <v>2</v>
      </c>
      <c r="C74" s="39">
        <f>'Price Proposal'!C34</f>
        <v>3150000</v>
      </c>
      <c r="D74" s="26">
        <f>'Price Proposal'!D34</f>
        <v>12915000</v>
      </c>
      <c r="E74" s="39" t="str">
        <f>IF('Price Proposal'!E34="","",'Price Proposal'!E34)</f>
        <v/>
      </c>
      <c r="F74" s="39">
        <f>IF('Price Proposal'!F34="","",'Price Proposal'!F34)</f>
        <v>3150000</v>
      </c>
      <c r="G74" s="39">
        <f>IF('Price Proposal'!G34="","",'Price Proposal'!G34)</f>
        <v>3150000</v>
      </c>
      <c r="H74" s="39">
        <f>IF('Price Proposal'!H34="","",'Price Proposal'!H34)</f>
        <v>3307500</v>
      </c>
      <c r="I74" s="39">
        <f>IF('Price Proposal'!I34="","",'Price Proposal'!I34)</f>
        <v>3307500</v>
      </c>
    </row>
    <row r="75" spans="1:9" x14ac:dyDescent="0.45">
      <c r="A75" s="32" t="str">
        <f>'Price Proposal'!A35</f>
        <v>Business Unit 17</v>
      </c>
      <c r="B75" s="38">
        <f>'Price Proposal'!B35</f>
        <v>2</v>
      </c>
      <c r="C75" s="39">
        <f>'Price Proposal'!C35</f>
        <v>3150000</v>
      </c>
      <c r="D75" s="26">
        <f>'Price Proposal'!D35</f>
        <v>12915000</v>
      </c>
      <c r="E75" s="39" t="str">
        <f>IF('Price Proposal'!E35="","",'Price Proposal'!E35)</f>
        <v/>
      </c>
      <c r="F75" s="39">
        <f>IF('Price Proposal'!F35="","",'Price Proposal'!F35)</f>
        <v>3150000</v>
      </c>
      <c r="G75" s="39">
        <f>IF('Price Proposal'!G35="","",'Price Proposal'!G35)</f>
        <v>3150000</v>
      </c>
      <c r="H75" s="39">
        <f>IF('Price Proposal'!H35="","",'Price Proposal'!H35)</f>
        <v>3307500</v>
      </c>
      <c r="I75" s="39">
        <f>IF('Price Proposal'!I35="","",'Price Proposal'!I35)</f>
        <v>3307500</v>
      </c>
    </row>
    <row r="76" spans="1:9" x14ac:dyDescent="0.45">
      <c r="A76" s="32" t="str">
        <f>'Price Proposal'!A36</f>
        <v>Business Unit 18</v>
      </c>
      <c r="B76" s="38">
        <f>'Price Proposal'!B36</f>
        <v>2</v>
      </c>
      <c r="C76" s="39">
        <f>'Price Proposal'!C36</f>
        <v>3150000</v>
      </c>
      <c r="D76" s="26">
        <f>'Price Proposal'!D36</f>
        <v>12915000</v>
      </c>
      <c r="E76" s="39" t="str">
        <f>IF('Price Proposal'!E36="","",'Price Proposal'!E36)</f>
        <v/>
      </c>
      <c r="F76" s="39">
        <f>IF('Price Proposal'!F36="","",'Price Proposal'!F36)</f>
        <v>3150000</v>
      </c>
      <c r="G76" s="39">
        <f>IF('Price Proposal'!G36="","",'Price Proposal'!G36)</f>
        <v>3150000</v>
      </c>
      <c r="H76" s="39">
        <f>IF('Price Proposal'!H36="","",'Price Proposal'!H36)</f>
        <v>3307500</v>
      </c>
      <c r="I76" s="39">
        <f>IF('Price Proposal'!I36="","",'Price Proposal'!I36)</f>
        <v>3307500</v>
      </c>
    </row>
    <row r="77" spans="1:9" x14ac:dyDescent="0.45">
      <c r="A77" s="32" t="str">
        <f>'Price Proposal'!A37</f>
        <v>Business Unit 19</v>
      </c>
      <c r="B77" s="38">
        <f>'Price Proposal'!B37</f>
        <v>2</v>
      </c>
      <c r="C77" s="39">
        <f>'Price Proposal'!C37</f>
        <v>3150000</v>
      </c>
      <c r="D77" s="26">
        <f>'Price Proposal'!D37</f>
        <v>12915000</v>
      </c>
      <c r="E77" s="39" t="str">
        <f>IF('Price Proposal'!E37="","",'Price Proposal'!E37)</f>
        <v/>
      </c>
      <c r="F77" s="39">
        <f>IF('Price Proposal'!F37="","",'Price Proposal'!F37)</f>
        <v>3150000</v>
      </c>
      <c r="G77" s="39">
        <f>IF('Price Proposal'!G37="","",'Price Proposal'!G37)</f>
        <v>3150000</v>
      </c>
      <c r="H77" s="39">
        <f>IF('Price Proposal'!H37="","",'Price Proposal'!H37)</f>
        <v>3307500</v>
      </c>
      <c r="I77" s="39">
        <f>IF('Price Proposal'!I37="","",'Price Proposal'!I37)</f>
        <v>3307500</v>
      </c>
    </row>
    <row r="78" spans="1:9" x14ac:dyDescent="0.45">
      <c r="A78" s="32" t="str">
        <f>'Price Proposal'!A38</f>
        <v>Business Unit 20</v>
      </c>
      <c r="B78" s="38">
        <f>'Price Proposal'!B38</f>
        <v>2</v>
      </c>
      <c r="C78" s="39">
        <f>'Price Proposal'!C38</f>
        <v>3150000</v>
      </c>
      <c r="D78" s="26">
        <f>'Price Proposal'!D38</f>
        <v>12915000</v>
      </c>
      <c r="E78" s="39" t="str">
        <f>IF('Price Proposal'!E38="","",'Price Proposal'!E38)</f>
        <v/>
      </c>
      <c r="F78" s="39">
        <f>IF('Price Proposal'!F38="","",'Price Proposal'!F38)</f>
        <v>3150000</v>
      </c>
      <c r="G78" s="39">
        <f>IF('Price Proposal'!G38="","",'Price Proposal'!G38)</f>
        <v>3150000</v>
      </c>
      <c r="H78" s="39">
        <f>IF('Price Proposal'!H38="","",'Price Proposal'!H38)</f>
        <v>3307500</v>
      </c>
      <c r="I78" s="39">
        <f>IF('Price Proposal'!I38="","",'Price Proposal'!I38)</f>
        <v>3307500</v>
      </c>
    </row>
    <row r="79" spans="1:9" x14ac:dyDescent="0.45">
      <c r="A79" s="32" t="str">
        <f>'Price Proposal'!A39</f>
        <v>Business Unit 21</v>
      </c>
      <c r="B79" s="38">
        <f>'Price Proposal'!B39</f>
        <v>2</v>
      </c>
      <c r="C79" s="39">
        <f>'Price Proposal'!C39</f>
        <v>3150000</v>
      </c>
      <c r="D79" s="26">
        <f>'Price Proposal'!D39</f>
        <v>12915000</v>
      </c>
      <c r="E79" s="39" t="str">
        <f>IF('Price Proposal'!E39="","",'Price Proposal'!E39)</f>
        <v/>
      </c>
      <c r="F79" s="39">
        <f>IF('Price Proposal'!F39="","",'Price Proposal'!F39)</f>
        <v>3150000</v>
      </c>
      <c r="G79" s="39">
        <f>IF('Price Proposal'!G39="","",'Price Proposal'!G39)</f>
        <v>3150000</v>
      </c>
      <c r="H79" s="39">
        <f>IF('Price Proposal'!H39="","",'Price Proposal'!H39)</f>
        <v>3307500</v>
      </c>
      <c r="I79" s="39">
        <f>IF('Price Proposal'!I39="","",'Price Proposal'!I39)</f>
        <v>3307500</v>
      </c>
    </row>
    <row r="80" spans="1:9" x14ac:dyDescent="0.45">
      <c r="A80" s="32" t="str">
        <f>'Price Proposal'!A40</f>
        <v>Business Unit 22</v>
      </c>
      <c r="B80" s="38">
        <f>'Price Proposal'!B40</f>
        <v>2</v>
      </c>
      <c r="C80" s="39">
        <f>'Price Proposal'!C40</f>
        <v>3150000</v>
      </c>
      <c r="D80" s="26">
        <f>'Price Proposal'!D40</f>
        <v>12915000</v>
      </c>
      <c r="E80" s="39" t="str">
        <f>IF('Price Proposal'!E40="","",'Price Proposal'!E40)</f>
        <v/>
      </c>
      <c r="F80" s="39">
        <f>IF('Price Proposal'!F40="","",'Price Proposal'!F40)</f>
        <v>3150000</v>
      </c>
      <c r="G80" s="39">
        <f>IF('Price Proposal'!G40="","",'Price Proposal'!G40)</f>
        <v>3150000</v>
      </c>
      <c r="H80" s="39">
        <f>IF('Price Proposal'!H40="","",'Price Proposal'!H40)</f>
        <v>3307500</v>
      </c>
      <c r="I80" s="39">
        <f>IF('Price Proposal'!I40="","",'Price Proposal'!I40)</f>
        <v>3307500</v>
      </c>
    </row>
    <row r="81" spans="1:9" x14ac:dyDescent="0.45">
      <c r="A81" s="32" t="str">
        <f>'Price Proposal'!A41</f>
        <v>Business Unit 23</v>
      </c>
      <c r="B81" s="38">
        <f>'Price Proposal'!B41</f>
        <v>2</v>
      </c>
      <c r="C81" s="39">
        <f>'Price Proposal'!C41</f>
        <v>3150000</v>
      </c>
      <c r="D81" s="26">
        <f>'Price Proposal'!D41</f>
        <v>12915000</v>
      </c>
      <c r="E81" s="39" t="str">
        <f>IF('Price Proposal'!E41="","",'Price Proposal'!E41)</f>
        <v/>
      </c>
      <c r="F81" s="39">
        <f>IF('Price Proposal'!F41="","",'Price Proposal'!F41)</f>
        <v>3150000</v>
      </c>
      <c r="G81" s="39">
        <f>IF('Price Proposal'!G41="","",'Price Proposal'!G41)</f>
        <v>3150000</v>
      </c>
      <c r="H81" s="39">
        <f>IF('Price Proposal'!H41="","",'Price Proposal'!H41)</f>
        <v>3307500</v>
      </c>
      <c r="I81" s="39">
        <f>IF('Price Proposal'!I41="","",'Price Proposal'!I41)</f>
        <v>3307500</v>
      </c>
    </row>
    <row r="82" spans="1:9" x14ac:dyDescent="0.45">
      <c r="A82" s="32" t="str">
        <f>'Price Proposal'!A42</f>
        <v>Business Unit 24</v>
      </c>
      <c r="B82" s="38">
        <f>'Price Proposal'!B42</f>
        <v>2</v>
      </c>
      <c r="C82" s="39">
        <f>'Price Proposal'!C42</f>
        <v>3150000</v>
      </c>
      <c r="D82" s="26">
        <f>'Price Proposal'!D42</f>
        <v>12915000</v>
      </c>
      <c r="E82" s="39" t="str">
        <f>IF('Price Proposal'!E42="","",'Price Proposal'!E42)</f>
        <v/>
      </c>
      <c r="F82" s="39">
        <f>IF('Price Proposal'!F42="","",'Price Proposal'!F42)</f>
        <v>3150000</v>
      </c>
      <c r="G82" s="39">
        <f>IF('Price Proposal'!G42="","",'Price Proposal'!G42)</f>
        <v>3150000</v>
      </c>
      <c r="H82" s="39">
        <f>IF('Price Proposal'!H42="","",'Price Proposal'!H42)</f>
        <v>3307500</v>
      </c>
      <c r="I82" s="39">
        <f>IF('Price Proposal'!I42="","",'Price Proposal'!I42)</f>
        <v>3307500</v>
      </c>
    </row>
    <row r="83" spans="1:9" x14ac:dyDescent="0.45">
      <c r="A83" s="32" t="str">
        <f>'Price Proposal'!A43</f>
        <v>Business Unit 25</v>
      </c>
      <c r="B83" s="38">
        <f>'Price Proposal'!B43</f>
        <v>2</v>
      </c>
      <c r="C83" s="39">
        <f>'Price Proposal'!C43</f>
        <v>3150000</v>
      </c>
      <c r="D83" s="26">
        <f>'Price Proposal'!D43</f>
        <v>12915000</v>
      </c>
      <c r="E83" s="39" t="str">
        <f>IF('Price Proposal'!E43="","",'Price Proposal'!E43)</f>
        <v/>
      </c>
      <c r="F83" s="39">
        <f>IF('Price Proposal'!F43="","",'Price Proposal'!F43)</f>
        <v>3150000</v>
      </c>
      <c r="G83" s="39">
        <f>IF('Price Proposal'!G43="","",'Price Proposal'!G43)</f>
        <v>3150000</v>
      </c>
      <c r="H83" s="39">
        <f>IF('Price Proposal'!H43="","",'Price Proposal'!H43)</f>
        <v>3307500</v>
      </c>
      <c r="I83" s="39">
        <f>IF('Price Proposal'!I43="","",'Price Proposal'!I43)</f>
        <v>3307500</v>
      </c>
    </row>
    <row r="84" spans="1:9" x14ac:dyDescent="0.45">
      <c r="A84" s="32" t="str">
        <f>'Price Proposal'!A44</f>
        <v>Business Unit 26</v>
      </c>
      <c r="B84" s="38">
        <f>'Price Proposal'!B44</f>
        <v>3</v>
      </c>
      <c r="C84" s="39">
        <f>'Price Proposal'!C44</f>
        <v>3150000</v>
      </c>
      <c r="D84" s="26">
        <f>'Price Proposal'!D44</f>
        <v>9765000</v>
      </c>
      <c r="E84" s="39" t="str">
        <f>IF('Price Proposal'!E44="","",'Price Proposal'!E44)</f>
        <v/>
      </c>
      <c r="F84" s="39" t="str">
        <f>IF('Price Proposal'!F44="","",'Price Proposal'!F44)</f>
        <v/>
      </c>
      <c r="G84" s="39">
        <f>IF('Price Proposal'!G44="","",'Price Proposal'!G44)</f>
        <v>3150000</v>
      </c>
      <c r="H84" s="39">
        <f>IF('Price Proposal'!H44="","",'Price Proposal'!H44)</f>
        <v>3307500</v>
      </c>
      <c r="I84" s="39">
        <f>IF('Price Proposal'!I44="","",'Price Proposal'!I44)</f>
        <v>3307500</v>
      </c>
    </row>
    <row r="85" spans="1:9" x14ac:dyDescent="0.45">
      <c r="A85" s="32" t="str">
        <f>'Price Proposal'!A45</f>
        <v>Business Unit 27</v>
      </c>
      <c r="B85" s="38">
        <f>'Price Proposal'!B45</f>
        <v>3</v>
      </c>
      <c r="C85" s="39">
        <f>'Price Proposal'!C45</f>
        <v>3150000</v>
      </c>
      <c r="D85" s="26">
        <f>'Price Proposal'!D45</f>
        <v>9765000</v>
      </c>
      <c r="E85" s="39" t="str">
        <f>IF('Price Proposal'!E45="","",'Price Proposal'!E45)</f>
        <v/>
      </c>
      <c r="F85" s="39" t="str">
        <f>IF('Price Proposal'!F45="","",'Price Proposal'!F45)</f>
        <v/>
      </c>
      <c r="G85" s="39">
        <f>IF('Price Proposal'!G45="","",'Price Proposal'!G45)</f>
        <v>3150000</v>
      </c>
      <c r="H85" s="39">
        <f>IF('Price Proposal'!H45="","",'Price Proposal'!H45)</f>
        <v>3307500</v>
      </c>
      <c r="I85" s="39">
        <f>IF('Price Proposal'!I45="","",'Price Proposal'!I45)</f>
        <v>3307500</v>
      </c>
    </row>
    <row r="86" spans="1:9" x14ac:dyDescent="0.45">
      <c r="A86" s="32" t="str">
        <f>'Price Proposal'!A46</f>
        <v>Business Unit 28</v>
      </c>
      <c r="B86" s="38">
        <f>'Price Proposal'!B46</f>
        <v>3</v>
      </c>
      <c r="C86" s="39">
        <f>'Price Proposal'!C46</f>
        <v>3150000</v>
      </c>
      <c r="D86" s="26">
        <f>'Price Proposal'!D46</f>
        <v>9765000</v>
      </c>
      <c r="E86" s="39" t="str">
        <f>IF('Price Proposal'!E46="","",'Price Proposal'!E46)</f>
        <v/>
      </c>
      <c r="F86" s="39" t="str">
        <f>IF('Price Proposal'!F46="","",'Price Proposal'!F46)</f>
        <v/>
      </c>
      <c r="G86" s="39">
        <f>IF('Price Proposal'!G46="","",'Price Proposal'!G46)</f>
        <v>3150000</v>
      </c>
      <c r="H86" s="39">
        <f>IF('Price Proposal'!H46="","",'Price Proposal'!H46)</f>
        <v>3307500</v>
      </c>
      <c r="I86" s="39">
        <f>IF('Price Proposal'!I46="","",'Price Proposal'!I46)</f>
        <v>3307500</v>
      </c>
    </row>
    <row r="87" spans="1:9" x14ac:dyDescent="0.45">
      <c r="A87" s="32" t="str">
        <f>'Price Proposal'!A47</f>
        <v>Business Unit 29</v>
      </c>
      <c r="B87" s="38">
        <f>'Price Proposal'!B47</f>
        <v>3</v>
      </c>
      <c r="C87" s="39">
        <f>'Price Proposal'!C47</f>
        <v>3150000</v>
      </c>
      <c r="D87" s="26">
        <f>'Price Proposal'!D47</f>
        <v>9765000</v>
      </c>
      <c r="E87" s="39" t="str">
        <f>IF('Price Proposal'!E47="","",'Price Proposal'!E47)</f>
        <v/>
      </c>
      <c r="F87" s="39" t="str">
        <f>IF('Price Proposal'!F47="","",'Price Proposal'!F47)</f>
        <v/>
      </c>
      <c r="G87" s="39">
        <f>IF('Price Proposal'!G47="","",'Price Proposal'!G47)</f>
        <v>3150000</v>
      </c>
      <c r="H87" s="39">
        <f>IF('Price Proposal'!H47="","",'Price Proposal'!H47)</f>
        <v>3307500</v>
      </c>
      <c r="I87" s="39">
        <f>IF('Price Proposal'!I47="","",'Price Proposal'!I47)</f>
        <v>3307500</v>
      </c>
    </row>
    <row r="88" spans="1:9" x14ac:dyDescent="0.45">
      <c r="A88" s="32" t="str">
        <f>'Price Proposal'!A48</f>
        <v>Business Unit 30</v>
      </c>
      <c r="B88" s="38">
        <f>'Price Proposal'!B48</f>
        <v>3</v>
      </c>
      <c r="C88" s="39">
        <f>'Price Proposal'!C48</f>
        <v>3150000</v>
      </c>
      <c r="D88" s="26">
        <f>'Price Proposal'!D48</f>
        <v>9765000</v>
      </c>
      <c r="E88" s="39" t="str">
        <f>IF('Price Proposal'!E48="","",'Price Proposal'!E48)</f>
        <v/>
      </c>
      <c r="F88" s="39" t="str">
        <f>IF('Price Proposal'!F48="","",'Price Proposal'!F48)</f>
        <v/>
      </c>
      <c r="G88" s="39">
        <f>IF('Price Proposal'!G48="","",'Price Proposal'!G48)</f>
        <v>3150000</v>
      </c>
      <c r="H88" s="39">
        <f>IF('Price Proposal'!H48="","",'Price Proposal'!H48)</f>
        <v>3307500</v>
      </c>
      <c r="I88" s="39">
        <f>IF('Price Proposal'!I48="","",'Price Proposal'!I48)</f>
        <v>3307500</v>
      </c>
    </row>
    <row r="89" spans="1:9" x14ac:dyDescent="0.45">
      <c r="A89" s="30" t="s">
        <v>47</v>
      </c>
      <c r="B89" s="42"/>
      <c r="C89" s="42"/>
      <c r="D89" s="27">
        <f>'Price Proposal'!D16</f>
        <v>393750000</v>
      </c>
      <c r="E89" s="27">
        <f>'Price Proposal'!E16</f>
        <v>22050000</v>
      </c>
      <c r="F89" s="27">
        <f>'Price Proposal'!F16</f>
        <v>78750000</v>
      </c>
      <c r="G89" s="27">
        <f>'Price Proposal'!G16</f>
        <v>94500000</v>
      </c>
      <c r="H89" s="27">
        <f>'Price Proposal'!H16</f>
        <v>99225000</v>
      </c>
      <c r="I89" s="27">
        <f>'Price Proposal'!I16</f>
        <v>99225000</v>
      </c>
    </row>
    <row r="90" spans="1:9" x14ac:dyDescent="0.45">
      <c r="A90" s="44" t="s">
        <v>48</v>
      </c>
      <c r="B90" s="45"/>
      <c r="C90" s="45"/>
      <c r="D90" s="31">
        <f>'Price Proposal'!D49</f>
        <v>584705000</v>
      </c>
      <c r="E90" s="31">
        <f>'Price Proposal'!E49</f>
        <v>127355000</v>
      </c>
      <c r="F90" s="31">
        <f>'Price Proposal'!F49</f>
        <v>136950000</v>
      </c>
      <c r="G90" s="31">
        <f>'Price Proposal'!G49</f>
        <v>121950000</v>
      </c>
      <c r="H90" s="31">
        <f>'Price Proposal'!H49</f>
        <v>99225000</v>
      </c>
      <c r="I90" s="31">
        <f>'Price Proposal'!I49</f>
        <v>99225000</v>
      </c>
    </row>
    <row r="91" spans="1:9" x14ac:dyDescent="0.45">
      <c r="A91" s="30" t="s">
        <v>49</v>
      </c>
      <c r="B91" s="42"/>
      <c r="C91" s="42"/>
      <c r="D91" s="34">
        <f>'Price Proposal'!D50</f>
        <v>58.470500000000001</v>
      </c>
      <c r="E91" s="34">
        <f>'Price Proposal'!E50</f>
        <v>12.7355</v>
      </c>
      <c r="F91" s="34">
        <f>'Price Proposal'!F50</f>
        <v>13.695</v>
      </c>
      <c r="G91" s="34">
        <f>'Price Proposal'!G50</f>
        <v>12.195</v>
      </c>
      <c r="H91" s="34">
        <f>'Price Proposal'!H50</f>
        <v>9.9224999999999994</v>
      </c>
      <c r="I91" s="34">
        <f>'Price Proposal'!I50</f>
        <v>9.9224999999999994</v>
      </c>
    </row>
    <row r="93" spans="1:9" ht="21.75" customHeight="1" x14ac:dyDescent="0.45">
      <c r="A93" s="21" t="s">
        <v>50</v>
      </c>
      <c r="B93" s="22"/>
      <c r="C93" s="22"/>
      <c r="D93" s="22"/>
      <c r="E93" s="22"/>
      <c r="F93" s="22"/>
      <c r="G93" s="22"/>
      <c r="H93" s="22"/>
      <c r="I93" s="22"/>
    </row>
    <row r="94" spans="1:9" ht="25.5" customHeight="1" x14ac:dyDescent="0.45">
      <c r="A94" s="23" t="s">
        <v>30</v>
      </c>
      <c r="B94" s="11" t="s">
        <v>51</v>
      </c>
      <c r="C94" s="11"/>
      <c r="D94" s="11"/>
      <c r="E94" s="11"/>
      <c r="F94" s="24" t="s">
        <v>52</v>
      </c>
      <c r="G94" s="11" t="s">
        <v>53</v>
      </c>
      <c r="H94" s="11"/>
      <c r="I94" s="11"/>
    </row>
    <row r="95" spans="1:9" ht="33.75" customHeight="1" x14ac:dyDescent="0.45">
      <c r="A95" s="40" t="s">
        <v>54</v>
      </c>
      <c r="B95" s="2" t="str">
        <f>"Six milestones: "&amp;TEXT('Payment Milestones'!C5,"0%")&amp;" contract signing, "&amp;TEXT('Payment Milestones'!C6,"0%")&amp;" blueprint sign-off, "&amp;TEXT('Payment Milestones'!C7,"0%")&amp;" build and SIT, "&amp;TEXT('Payment Milestones'!C8,"0%")&amp;" UAT sign-off, "&amp;TEXT('Payment Milestones'!C9,"0%")&amp;" pilot go-live, "&amp;TEXT('Payment Milestones'!C10,"0%")&amp;" hypercare completion"</f>
        <v>Six milestones: 10% contract signing, 25% blueprint sign-off, 20% build and SIT, 20% UAT sign-off, 15% pilot go-live, 10% hypercare completion</v>
      </c>
      <c r="C95" s="2"/>
      <c r="D95" s="2"/>
      <c r="E95" s="2"/>
      <c r="F95" s="41">
        <f>'Payment Milestones'!D11</f>
        <v>44180000</v>
      </c>
      <c r="G95" s="1">
        <f>F95/$F$98</f>
        <v>7.5559470160166231E-2</v>
      </c>
      <c r="H95" s="1"/>
      <c r="I95" s="1"/>
    </row>
    <row r="96" spans="1:9" ht="21.75" customHeight="1" x14ac:dyDescent="0.45">
      <c r="A96" s="40" t="s">
        <v>55</v>
      </c>
      <c r="B96" s="2" t="s">
        <v>56</v>
      </c>
      <c r="C96" s="2"/>
      <c r="D96" s="2"/>
      <c r="E96" s="2"/>
      <c r="F96" s="41">
        <f>'Payment Milestones'!D17</f>
        <v>146775000</v>
      </c>
      <c r="G96" s="1">
        <f>F96/$F$98</f>
        <v>0.25102402065999091</v>
      </c>
      <c r="H96" s="1"/>
      <c r="I96" s="1"/>
    </row>
    <row r="97" spans="1:9" ht="21.75" customHeight="1" x14ac:dyDescent="0.45">
      <c r="A97" s="40" t="s">
        <v>57</v>
      </c>
      <c r="B97" s="2" t="s">
        <v>58</v>
      </c>
      <c r="C97" s="2"/>
      <c r="D97" s="2"/>
      <c r="E97" s="2"/>
      <c r="F97" s="41">
        <f>'Payment Milestones'!D25</f>
        <v>393750000</v>
      </c>
      <c r="G97" s="1">
        <f>F97/$F$98</f>
        <v>0.67341650917984286</v>
      </c>
      <c r="H97" s="1"/>
      <c r="I97" s="1"/>
    </row>
    <row r="98" spans="1:9" x14ac:dyDescent="0.45">
      <c r="A98" s="44" t="s">
        <v>59</v>
      </c>
      <c r="B98" s="75"/>
      <c r="C98" s="75"/>
      <c r="D98" s="75"/>
      <c r="E98" s="75"/>
      <c r="F98" s="46">
        <f>SUM(F95:F97)</f>
        <v>584705000</v>
      </c>
      <c r="G98" s="76">
        <f>SUM(G95:G97)</f>
        <v>1</v>
      </c>
      <c r="H98" s="76"/>
      <c r="I98" s="76"/>
    </row>
    <row r="99" spans="1:9" x14ac:dyDescent="0.45">
      <c r="A99" s="77" t="s">
        <v>60</v>
      </c>
      <c r="B99" s="77"/>
      <c r="C99" s="77"/>
      <c r="D99" s="77"/>
      <c r="E99" s="77"/>
      <c r="F99" s="77"/>
      <c r="G99" s="77"/>
      <c r="H99" s="77"/>
      <c r="I99" s="77"/>
    </row>
    <row r="101" spans="1:9" ht="21.75" customHeight="1" x14ac:dyDescent="0.45">
      <c r="A101" s="21" t="s">
        <v>61</v>
      </c>
      <c r="B101" s="22"/>
      <c r="C101" s="22"/>
      <c r="D101" s="22"/>
      <c r="E101" s="22"/>
      <c r="F101" s="22"/>
      <c r="G101" s="22"/>
      <c r="H101" s="22"/>
      <c r="I101" s="22"/>
    </row>
    <row r="102" spans="1:9" ht="27.75" customHeight="1" x14ac:dyDescent="0.45">
      <c r="A102" s="78" t="s">
        <v>62</v>
      </c>
      <c r="B102" s="78"/>
      <c r="C102" s="78"/>
      <c r="D102" s="78"/>
      <c r="E102" s="78"/>
      <c r="F102" s="78"/>
      <c r="G102" s="78"/>
      <c r="H102" s="78"/>
      <c r="I102" s="78"/>
    </row>
    <row r="103" spans="1:9" ht="27.75" customHeight="1" x14ac:dyDescent="0.45">
      <c r="A103" s="78" t="s">
        <v>63</v>
      </c>
      <c r="B103" s="78"/>
      <c r="C103" s="78"/>
      <c r="D103" s="78"/>
      <c r="E103" s="78"/>
      <c r="F103" s="78"/>
      <c r="G103" s="78"/>
      <c r="H103" s="78"/>
      <c r="I103" s="78"/>
    </row>
    <row r="104" spans="1:9" ht="27.75" customHeight="1" x14ac:dyDescent="0.45">
      <c r="A104" s="78" t="s">
        <v>64</v>
      </c>
      <c r="B104" s="78"/>
      <c r="C104" s="78"/>
      <c r="D104" s="78"/>
      <c r="E104" s="78"/>
      <c r="F104" s="78"/>
      <c r="G104" s="78"/>
      <c r="H104" s="78"/>
      <c r="I104" s="78"/>
    </row>
    <row r="105" spans="1:9" ht="27.75" customHeight="1" x14ac:dyDescent="0.45">
      <c r="A105" s="78" t="s">
        <v>65</v>
      </c>
      <c r="B105" s="78"/>
      <c r="C105" s="78"/>
      <c r="D105" s="78"/>
      <c r="E105" s="78"/>
      <c r="F105" s="78"/>
      <c r="G105" s="78"/>
      <c r="H105" s="78"/>
      <c r="I105" s="78"/>
    </row>
    <row r="106" spans="1:9" ht="27.75" customHeight="1" x14ac:dyDescent="0.45">
      <c r="A106" s="78" t="s">
        <v>66</v>
      </c>
      <c r="B106" s="78"/>
      <c r="C106" s="78"/>
      <c r="D106" s="78"/>
      <c r="E106" s="78"/>
      <c r="F106" s="78"/>
      <c r="G106" s="78"/>
      <c r="H106" s="78"/>
      <c r="I106" s="78"/>
    </row>
    <row r="107" spans="1:9" x14ac:dyDescent="0.45">
      <c r="A107" s="79" t="s">
        <v>67</v>
      </c>
      <c r="B107" s="79"/>
      <c r="C107" s="79"/>
      <c r="D107" s="79"/>
      <c r="E107" s="79"/>
      <c r="F107" s="79"/>
      <c r="G107" s="79"/>
      <c r="H107" s="79"/>
      <c r="I107" s="79"/>
    </row>
    <row r="109" spans="1:9" x14ac:dyDescent="0.45">
      <c r="A109" s="47" t="s">
        <v>68</v>
      </c>
    </row>
  </sheetData>
  <mergeCells count="50">
    <mergeCell ref="A106:I106"/>
    <mergeCell ref="A107:I107"/>
    <mergeCell ref="A99:I99"/>
    <mergeCell ref="A102:I102"/>
    <mergeCell ref="A103:I103"/>
    <mergeCell ref="A104:I104"/>
    <mergeCell ref="A105:I105"/>
    <mergeCell ref="B96:E96"/>
    <mergeCell ref="G96:I96"/>
    <mergeCell ref="B97:E97"/>
    <mergeCell ref="G97:I97"/>
    <mergeCell ref="B98:E98"/>
    <mergeCell ref="G98:I98"/>
    <mergeCell ref="E54:I54"/>
    <mergeCell ref="E55:I55"/>
    <mergeCell ref="B94:E94"/>
    <mergeCell ref="G94:I94"/>
    <mergeCell ref="B95:E95"/>
    <mergeCell ref="G95:I95"/>
    <mergeCell ref="E49:I49"/>
    <mergeCell ref="E50:I50"/>
    <mergeCell ref="E51:I51"/>
    <mergeCell ref="E52:I52"/>
    <mergeCell ref="E53:I53"/>
    <mergeCell ref="E44:I44"/>
    <mergeCell ref="E45:I45"/>
    <mergeCell ref="E46:I46"/>
    <mergeCell ref="E47:I47"/>
    <mergeCell ref="E48:I48"/>
    <mergeCell ref="G20:I20"/>
    <mergeCell ref="G21:I21"/>
    <mergeCell ref="G22:I22"/>
    <mergeCell ref="G23:I23"/>
    <mergeCell ref="G24:I24"/>
    <mergeCell ref="G14:I14"/>
    <mergeCell ref="G15:I15"/>
    <mergeCell ref="G16:I16"/>
    <mergeCell ref="G17:I17"/>
    <mergeCell ref="G18:I18"/>
    <mergeCell ref="G9:I9"/>
    <mergeCell ref="G10:I10"/>
    <mergeCell ref="G11:I11"/>
    <mergeCell ref="G12:I12"/>
    <mergeCell ref="G13:I13"/>
    <mergeCell ref="B5:C5"/>
    <mergeCell ref="D5:E5"/>
    <mergeCell ref="F5:I5"/>
    <mergeCell ref="B6:C6"/>
    <mergeCell ref="D6:E6"/>
    <mergeCell ref="F6:I6"/>
  </mergeCells>
  <conditionalFormatting sqref="B10:I14">
    <cfRule type="cellIs" dxfId="0" priority="2" operator="equal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1F44"/>
  </sheetPr>
  <dimension ref="A1:L50"/>
  <sheetViews>
    <sheetView showGridLines="0" workbookViewId="0"/>
  </sheetViews>
  <sheetFormatPr defaultColWidth="8.59765625" defaultRowHeight="14.25" x14ac:dyDescent="0.45"/>
  <cols>
    <col min="1" max="1" width="78" customWidth="1"/>
    <col min="2" max="2" width="16" customWidth="1"/>
    <col min="3" max="3" width="20" customWidth="1"/>
    <col min="4" max="4" width="18" customWidth="1"/>
    <col min="5" max="9" width="16" customWidth="1"/>
    <col min="11" max="11" width="40" customWidth="1"/>
    <col min="12" max="12" width="16" customWidth="1"/>
  </cols>
  <sheetData>
    <row r="1" spans="1:12" ht="19.5" customHeight="1" x14ac:dyDescent="0.6">
      <c r="A1" s="48" t="s">
        <v>69</v>
      </c>
    </row>
    <row r="2" spans="1:12" x14ac:dyDescent="0.45">
      <c r="A2" s="49" t="s">
        <v>70</v>
      </c>
    </row>
    <row r="4" spans="1:12" ht="25.5" customHeight="1" x14ac:dyDescent="0.45">
      <c r="A4" s="50" t="s">
        <v>14</v>
      </c>
      <c r="B4" s="50" t="s">
        <v>71</v>
      </c>
      <c r="C4" s="50" t="s">
        <v>72</v>
      </c>
      <c r="D4" s="50" t="s">
        <v>33</v>
      </c>
      <c r="E4" s="50" t="s">
        <v>8</v>
      </c>
      <c r="F4" s="50" t="s">
        <v>9</v>
      </c>
      <c r="G4" s="50" t="s">
        <v>10</v>
      </c>
      <c r="H4" s="50" t="s">
        <v>11</v>
      </c>
      <c r="I4" s="50" t="s">
        <v>12</v>
      </c>
      <c r="K4" s="51" t="s">
        <v>73</v>
      </c>
      <c r="L4" s="52"/>
    </row>
    <row r="5" spans="1:12" x14ac:dyDescent="0.45">
      <c r="A5" s="53" t="s">
        <v>74</v>
      </c>
      <c r="B5" s="54">
        <v>1</v>
      </c>
      <c r="C5" s="55">
        <v>44180000</v>
      </c>
      <c r="D5" s="55">
        <f t="shared" ref="D5:D12" si="0">B5*C5</f>
        <v>44180000</v>
      </c>
      <c r="E5" s="55">
        <v>44180000</v>
      </c>
      <c r="F5" s="56" t="s">
        <v>75</v>
      </c>
      <c r="G5" s="56" t="s">
        <v>76</v>
      </c>
      <c r="H5" s="56" t="s">
        <v>76</v>
      </c>
      <c r="I5" s="56" t="s">
        <v>76</v>
      </c>
      <c r="K5" s="57" t="s">
        <v>77</v>
      </c>
      <c r="L5" s="58">
        <v>3150000</v>
      </c>
    </row>
    <row r="6" spans="1:12" ht="24.75" customHeight="1" x14ac:dyDescent="0.45">
      <c r="A6" s="53" t="s">
        <v>78</v>
      </c>
      <c r="B6" s="54">
        <v>27</v>
      </c>
      <c r="C6" s="55">
        <v>575000</v>
      </c>
      <c r="D6" s="55">
        <f t="shared" si="0"/>
        <v>15525000</v>
      </c>
      <c r="E6" s="55">
        <v>15525000</v>
      </c>
      <c r="F6" s="56" t="s">
        <v>75</v>
      </c>
      <c r="G6" s="56" t="s">
        <v>76</v>
      </c>
      <c r="H6" s="56" t="s">
        <v>76</v>
      </c>
      <c r="I6" s="56" t="s">
        <v>76</v>
      </c>
      <c r="K6" s="57" t="s">
        <v>79</v>
      </c>
      <c r="L6" s="59">
        <v>0.05</v>
      </c>
    </row>
    <row r="7" spans="1:12" x14ac:dyDescent="0.45">
      <c r="A7" s="53" t="s">
        <v>80</v>
      </c>
      <c r="B7" s="54">
        <v>72</v>
      </c>
      <c r="C7" s="55">
        <v>350000</v>
      </c>
      <c r="D7" s="55">
        <f t="shared" si="0"/>
        <v>25200000</v>
      </c>
      <c r="E7" s="55">
        <v>6300000</v>
      </c>
      <c r="F7" s="55">
        <v>12600000</v>
      </c>
      <c r="G7" s="55">
        <v>6300000</v>
      </c>
      <c r="H7" s="56" t="s">
        <v>76</v>
      </c>
      <c r="I7" s="56" t="s">
        <v>76</v>
      </c>
      <c r="K7" s="57" t="s">
        <v>81</v>
      </c>
      <c r="L7" s="60">
        <v>4</v>
      </c>
    </row>
    <row r="8" spans="1:12" x14ac:dyDescent="0.45">
      <c r="A8" s="53" t="s">
        <v>82</v>
      </c>
      <c r="B8" s="54">
        <v>144</v>
      </c>
      <c r="C8" s="55">
        <v>175000</v>
      </c>
      <c r="D8" s="55">
        <f t="shared" si="0"/>
        <v>25200000</v>
      </c>
      <c r="E8" s="55">
        <v>6300000</v>
      </c>
      <c r="F8" s="55">
        <v>12600000</v>
      </c>
      <c r="G8" s="55">
        <v>6300000</v>
      </c>
      <c r="H8" s="56" t="s">
        <v>76</v>
      </c>
      <c r="I8" s="56" t="s">
        <v>76</v>
      </c>
    </row>
    <row r="9" spans="1:12" x14ac:dyDescent="0.45">
      <c r="A9" s="53" t="s">
        <v>83</v>
      </c>
      <c r="B9" s="54">
        <v>120</v>
      </c>
      <c r="C9" s="55">
        <v>350000</v>
      </c>
      <c r="D9" s="55">
        <f t="shared" si="0"/>
        <v>42000000</v>
      </c>
      <c r="E9" s="55">
        <v>16800000</v>
      </c>
      <c r="F9" s="55">
        <v>16800000</v>
      </c>
      <c r="G9" s="55">
        <v>8400000</v>
      </c>
      <c r="H9" s="56" t="s">
        <v>76</v>
      </c>
      <c r="I9" s="56" t="s">
        <v>76</v>
      </c>
    </row>
    <row r="10" spans="1:12" x14ac:dyDescent="0.45">
      <c r="A10" s="53" t="s">
        <v>84</v>
      </c>
      <c r="B10" s="54">
        <v>24</v>
      </c>
      <c r="C10" s="55">
        <v>275000</v>
      </c>
      <c r="D10" s="55">
        <f t="shared" si="0"/>
        <v>6600000</v>
      </c>
      <c r="E10" s="55">
        <v>3300000</v>
      </c>
      <c r="F10" s="55">
        <v>3300000</v>
      </c>
      <c r="G10" s="56" t="s">
        <v>76</v>
      </c>
      <c r="H10" s="56" t="s">
        <v>76</v>
      </c>
      <c r="I10" s="56" t="s">
        <v>76</v>
      </c>
    </row>
    <row r="11" spans="1:12" x14ac:dyDescent="0.45">
      <c r="A11" s="53" t="s">
        <v>85</v>
      </c>
      <c r="B11" s="54">
        <v>30</v>
      </c>
      <c r="C11" s="55">
        <v>525000</v>
      </c>
      <c r="D11" s="55">
        <f t="shared" si="0"/>
        <v>15750000</v>
      </c>
      <c r="E11" s="55">
        <v>6300000</v>
      </c>
      <c r="F11" s="55">
        <v>6300000</v>
      </c>
      <c r="G11" s="55">
        <v>3150000</v>
      </c>
      <c r="H11" s="56" t="s">
        <v>76</v>
      </c>
      <c r="I11" s="56" t="s">
        <v>76</v>
      </c>
    </row>
    <row r="12" spans="1:12" x14ac:dyDescent="0.45">
      <c r="A12" s="53" t="s">
        <v>86</v>
      </c>
      <c r="B12" s="54">
        <v>60</v>
      </c>
      <c r="C12" s="55">
        <v>275000</v>
      </c>
      <c r="D12" s="55">
        <f t="shared" si="0"/>
        <v>16500000</v>
      </c>
      <c r="E12" s="55">
        <v>6600000</v>
      </c>
      <c r="F12" s="55">
        <v>6600000</v>
      </c>
      <c r="G12" s="55">
        <v>3300000</v>
      </c>
      <c r="H12" s="56" t="s">
        <v>76</v>
      </c>
      <c r="I12" s="56" t="s">
        <v>76</v>
      </c>
    </row>
    <row r="13" spans="1:12" x14ac:dyDescent="0.45">
      <c r="A13" s="53" t="s">
        <v>87</v>
      </c>
      <c r="B13" s="61" t="s">
        <v>75</v>
      </c>
      <c r="C13" s="62" t="s">
        <v>75</v>
      </c>
      <c r="D13" s="62" t="s">
        <v>75</v>
      </c>
      <c r="E13" s="62" t="s">
        <v>75</v>
      </c>
      <c r="F13" s="62" t="s">
        <v>75</v>
      </c>
      <c r="G13" s="62" t="s">
        <v>76</v>
      </c>
      <c r="H13" s="62" t="s">
        <v>76</v>
      </c>
      <c r="I13" s="62" t="s">
        <v>76</v>
      </c>
    </row>
    <row r="14" spans="1:12" x14ac:dyDescent="0.45">
      <c r="A14" s="53" t="s">
        <v>88</v>
      </c>
      <c r="B14" s="61" t="s">
        <v>75</v>
      </c>
      <c r="C14" s="62" t="s">
        <v>75</v>
      </c>
      <c r="D14" s="62" t="s">
        <v>75</v>
      </c>
      <c r="E14" s="62" t="s">
        <v>75</v>
      </c>
      <c r="F14" s="62" t="s">
        <v>75</v>
      </c>
      <c r="G14" s="62" t="s">
        <v>76</v>
      </c>
      <c r="H14" s="62" t="s">
        <v>76</v>
      </c>
      <c r="I14" s="62" t="s">
        <v>76</v>
      </c>
    </row>
    <row r="15" spans="1:12" x14ac:dyDescent="0.45">
      <c r="A15" s="63" t="s">
        <v>89</v>
      </c>
      <c r="B15" s="64"/>
      <c r="C15" s="64"/>
      <c r="D15" s="65">
        <f t="shared" ref="D15:I15" si="1">SUM(D5:D14)</f>
        <v>190955000</v>
      </c>
      <c r="E15" s="65">
        <f t="shared" si="1"/>
        <v>105305000</v>
      </c>
      <c r="F15" s="65">
        <f t="shared" si="1"/>
        <v>58200000</v>
      </c>
      <c r="G15" s="65">
        <f t="shared" si="1"/>
        <v>27450000</v>
      </c>
      <c r="H15" s="65">
        <f t="shared" si="1"/>
        <v>0</v>
      </c>
      <c r="I15" s="65">
        <f t="shared" si="1"/>
        <v>0</v>
      </c>
    </row>
    <row r="16" spans="1:12" x14ac:dyDescent="0.45">
      <c r="A16" s="63" t="s">
        <v>90</v>
      </c>
      <c r="B16" s="64"/>
      <c r="C16" s="64"/>
      <c r="D16" s="65">
        <f t="shared" ref="D16:I16" si="2">SUM(D19:D48)</f>
        <v>393750000</v>
      </c>
      <c r="E16" s="65">
        <f t="shared" si="2"/>
        <v>22050000</v>
      </c>
      <c r="F16" s="65">
        <f t="shared" si="2"/>
        <v>78750000</v>
      </c>
      <c r="G16" s="65">
        <f t="shared" si="2"/>
        <v>94500000</v>
      </c>
      <c r="H16" s="65">
        <f t="shared" si="2"/>
        <v>99225000</v>
      </c>
      <c r="I16" s="65">
        <f t="shared" si="2"/>
        <v>99225000</v>
      </c>
    </row>
    <row r="17" spans="1:9" x14ac:dyDescent="0.45">
      <c r="A17" s="66" t="s">
        <v>91</v>
      </c>
      <c r="B17" s="57"/>
      <c r="C17" s="57"/>
      <c r="D17" s="57"/>
      <c r="E17" s="57"/>
      <c r="F17" s="57"/>
      <c r="G17" s="57"/>
      <c r="H17" s="57"/>
      <c r="I17" s="57"/>
    </row>
    <row r="18" spans="1:9" ht="25.5" customHeight="1" x14ac:dyDescent="0.45">
      <c r="A18" s="67" t="s">
        <v>43</v>
      </c>
      <c r="B18" s="67" t="s">
        <v>44</v>
      </c>
      <c r="C18" s="67" t="s">
        <v>45</v>
      </c>
      <c r="D18" s="67" t="s">
        <v>46</v>
      </c>
      <c r="E18" s="67" t="s">
        <v>8</v>
      </c>
      <c r="F18" s="67" t="s">
        <v>9</v>
      </c>
      <c r="G18" s="67" t="s">
        <v>10</v>
      </c>
      <c r="H18" s="67" t="s">
        <v>11</v>
      </c>
      <c r="I18" s="67" t="s">
        <v>12</v>
      </c>
    </row>
    <row r="19" spans="1:9" x14ac:dyDescent="0.45">
      <c r="A19" s="57" t="s">
        <v>92</v>
      </c>
      <c r="B19" s="68">
        <v>1</v>
      </c>
      <c r="C19" s="55">
        <f t="shared" ref="C19:C48" si="3">$L$5</f>
        <v>3150000</v>
      </c>
      <c r="D19" s="55">
        <f t="shared" ref="D19:D48" si="4">SUM(E19:I19)</f>
        <v>16065000</v>
      </c>
      <c r="E19" s="55">
        <f t="shared" ref="E19:E48" si="5">IF(1&gt;=$B19,$L$5*IF(1&gt;=$L$7,1+$L$6,1),"")</f>
        <v>3150000</v>
      </c>
      <c r="F19" s="55">
        <f t="shared" ref="F19:F48" si="6">IF(2&gt;=$B19,$L$5*IF(2&gt;=$L$7,1+$L$6,1),"")</f>
        <v>3150000</v>
      </c>
      <c r="G19" s="55">
        <f t="shared" ref="G19:G48" si="7">IF(3&gt;=$B19,$L$5*IF(3&gt;=$L$7,1+$L$6,1),"")</f>
        <v>3150000</v>
      </c>
      <c r="H19" s="55">
        <f t="shared" ref="H19:H48" si="8">IF(4&gt;=$B19,$L$5*IF(4&gt;=$L$7,1+$L$6,1),"")</f>
        <v>3307500</v>
      </c>
      <c r="I19" s="55">
        <f t="shared" ref="I19:I48" si="9">IF(5&gt;=$B19,$L$5*IF(5&gt;=$L$7,1+$L$6,1),"")</f>
        <v>3307500</v>
      </c>
    </row>
    <row r="20" spans="1:9" x14ac:dyDescent="0.45">
      <c r="A20" s="57" t="s">
        <v>93</v>
      </c>
      <c r="B20" s="68">
        <v>1</v>
      </c>
      <c r="C20" s="55">
        <f t="shared" si="3"/>
        <v>3150000</v>
      </c>
      <c r="D20" s="55">
        <f t="shared" si="4"/>
        <v>16065000</v>
      </c>
      <c r="E20" s="55">
        <f t="shared" si="5"/>
        <v>3150000</v>
      </c>
      <c r="F20" s="55">
        <f t="shared" si="6"/>
        <v>3150000</v>
      </c>
      <c r="G20" s="55">
        <f t="shared" si="7"/>
        <v>3150000</v>
      </c>
      <c r="H20" s="55">
        <f t="shared" si="8"/>
        <v>3307500</v>
      </c>
      <c r="I20" s="55">
        <f t="shared" si="9"/>
        <v>3307500</v>
      </c>
    </row>
    <row r="21" spans="1:9" x14ac:dyDescent="0.45">
      <c r="A21" s="57" t="s">
        <v>94</v>
      </c>
      <c r="B21" s="68">
        <v>1</v>
      </c>
      <c r="C21" s="55">
        <f t="shared" si="3"/>
        <v>3150000</v>
      </c>
      <c r="D21" s="55">
        <f t="shared" si="4"/>
        <v>16065000</v>
      </c>
      <c r="E21" s="55">
        <f t="shared" si="5"/>
        <v>3150000</v>
      </c>
      <c r="F21" s="55">
        <f t="shared" si="6"/>
        <v>3150000</v>
      </c>
      <c r="G21" s="55">
        <f t="shared" si="7"/>
        <v>3150000</v>
      </c>
      <c r="H21" s="55">
        <f t="shared" si="8"/>
        <v>3307500</v>
      </c>
      <c r="I21" s="55">
        <f t="shared" si="9"/>
        <v>3307500</v>
      </c>
    </row>
    <row r="22" spans="1:9" x14ac:dyDescent="0.45">
      <c r="A22" s="57" t="s">
        <v>95</v>
      </c>
      <c r="B22" s="68">
        <v>1</v>
      </c>
      <c r="C22" s="55">
        <f t="shared" si="3"/>
        <v>3150000</v>
      </c>
      <c r="D22" s="55">
        <f t="shared" si="4"/>
        <v>16065000</v>
      </c>
      <c r="E22" s="55">
        <f t="shared" si="5"/>
        <v>3150000</v>
      </c>
      <c r="F22" s="55">
        <f t="shared" si="6"/>
        <v>3150000</v>
      </c>
      <c r="G22" s="55">
        <f t="shared" si="7"/>
        <v>3150000</v>
      </c>
      <c r="H22" s="55">
        <f t="shared" si="8"/>
        <v>3307500</v>
      </c>
      <c r="I22" s="55">
        <f t="shared" si="9"/>
        <v>3307500</v>
      </c>
    </row>
    <row r="23" spans="1:9" x14ac:dyDescent="0.45">
      <c r="A23" s="57" t="s">
        <v>96</v>
      </c>
      <c r="B23" s="68">
        <v>1</v>
      </c>
      <c r="C23" s="55">
        <f t="shared" si="3"/>
        <v>3150000</v>
      </c>
      <c r="D23" s="55">
        <f t="shared" si="4"/>
        <v>16065000</v>
      </c>
      <c r="E23" s="55">
        <f t="shared" si="5"/>
        <v>3150000</v>
      </c>
      <c r="F23" s="55">
        <f t="shared" si="6"/>
        <v>3150000</v>
      </c>
      <c r="G23" s="55">
        <f t="shared" si="7"/>
        <v>3150000</v>
      </c>
      <c r="H23" s="55">
        <f t="shared" si="8"/>
        <v>3307500</v>
      </c>
      <c r="I23" s="55">
        <f t="shared" si="9"/>
        <v>3307500</v>
      </c>
    </row>
    <row r="24" spans="1:9" x14ac:dyDescent="0.45">
      <c r="A24" s="57" t="s">
        <v>97</v>
      </c>
      <c r="B24" s="68">
        <v>1</v>
      </c>
      <c r="C24" s="55">
        <f t="shared" si="3"/>
        <v>3150000</v>
      </c>
      <c r="D24" s="55">
        <f t="shared" si="4"/>
        <v>16065000</v>
      </c>
      <c r="E24" s="55">
        <f t="shared" si="5"/>
        <v>3150000</v>
      </c>
      <c r="F24" s="55">
        <f t="shared" si="6"/>
        <v>3150000</v>
      </c>
      <c r="G24" s="55">
        <f t="shared" si="7"/>
        <v>3150000</v>
      </c>
      <c r="H24" s="55">
        <f t="shared" si="8"/>
        <v>3307500</v>
      </c>
      <c r="I24" s="55">
        <f t="shared" si="9"/>
        <v>3307500</v>
      </c>
    </row>
    <row r="25" spans="1:9" x14ac:dyDescent="0.45">
      <c r="A25" s="57" t="s">
        <v>98</v>
      </c>
      <c r="B25" s="68">
        <v>1</v>
      </c>
      <c r="C25" s="55">
        <f t="shared" si="3"/>
        <v>3150000</v>
      </c>
      <c r="D25" s="55">
        <f t="shared" si="4"/>
        <v>16065000</v>
      </c>
      <c r="E25" s="55">
        <f t="shared" si="5"/>
        <v>3150000</v>
      </c>
      <c r="F25" s="55">
        <f t="shared" si="6"/>
        <v>3150000</v>
      </c>
      <c r="G25" s="55">
        <f t="shared" si="7"/>
        <v>3150000</v>
      </c>
      <c r="H25" s="55">
        <f t="shared" si="8"/>
        <v>3307500</v>
      </c>
      <c r="I25" s="55">
        <f t="shared" si="9"/>
        <v>3307500</v>
      </c>
    </row>
    <row r="26" spans="1:9" x14ac:dyDescent="0.45">
      <c r="A26" s="57" t="s">
        <v>99</v>
      </c>
      <c r="B26" s="68">
        <v>2</v>
      </c>
      <c r="C26" s="55">
        <f t="shared" si="3"/>
        <v>3150000</v>
      </c>
      <c r="D26" s="55">
        <f t="shared" si="4"/>
        <v>12915000</v>
      </c>
      <c r="E26" s="55" t="str">
        <f t="shared" si="5"/>
        <v/>
      </c>
      <c r="F26" s="55">
        <f t="shared" si="6"/>
        <v>3150000</v>
      </c>
      <c r="G26" s="55">
        <f t="shared" si="7"/>
        <v>3150000</v>
      </c>
      <c r="H26" s="55">
        <f t="shared" si="8"/>
        <v>3307500</v>
      </c>
      <c r="I26" s="55">
        <f t="shared" si="9"/>
        <v>3307500</v>
      </c>
    </row>
    <row r="27" spans="1:9" x14ac:dyDescent="0.45">
      <c r="A27" s="57" t="s">
        <v>100</v>
      </c>
      <c r="B27" s="68">
        <v>2</v>
      </c>
      <c r="C27" s="55">
        <f t="shared" si="3"/>
        <v>3150000</v>
      </c>
      <c r="D27" s="55">
        <f t="shared" si="4"/>
        <v>12915000</v>
      </c>
      <c r="E27" s="55" t="str">
        <f t="shared" si="5"/>
        <v/>
      </c>
      <c r="F27" s="55">
        <f t="shared" si="6"/>
        <v>3150000</v>
      </c>
      <c r="G27" s="55">
        <f t="shared" si="7"/>
        <v>3150000</v>
      </c>
      <c r="H27" s="55">
        <f t="shared" si="8"/>
        <v>3307500</v>
      </c>
      <c r="I27" s="55">
        <f t="shared" si="9"/>
        <v>3307500</v>
      </c>
    </row>
    <row r="28" spans="1:9" x14ac:dyDescent="0.45">
      <c r="A28" s="57" t="s">
        <v>101</v>
      </c>
      <c r="B28" s="68">
        <v>2</v>
      </c>
      <c r="C28" s="55">
        <f t="shared" si="3"/>
        <v>3150000</v>
      </c>
      <c r="D28" s="55">
        <f t="shared" si="4"/>
        <v>12915000</v>
      </c>
      <c r="E28" s="55" t="str">
        <f t="shared" si="5"/>
        <v/>
      </c>
      <c r="F28" s="55">
        <f t="shared" si="6"/>
        <v>3150000</v>
      </c>
      <c r="G28" s="55">
        <f t="shared" si="7"/>
        <v>3150000</v>
      </c>
      <c r="H28" s="55">
        <f t="shared" si="8"/>
        <v>3307500</v>
      </c>
      <c r="I28" s="55">
        <f t="shared" si="9"/>
        <v>3307500</v>
      </c>
    </row>
    <row r="29" spans="1:9" x14ac:dyDescent="0.45">
      <c r="A29" s="57" t="s">
        <v>102</v>
      </c>
      <c r="B29" s="68">
        <v>2</v>
      </c>
      <c r="C29" s="55">
        <f t="shared" si="3"/>
        <v>3150000</v>
      </c>
      <c r="D29" s="55">
        <f t="shared" si="4"/>
        <v>12915000</v>
      </c>
      <c r="E29" s="55" t="str">
        <f t="shared" si="5"/>
        <v/>
      </c>
      <c r="F29" s="55">
        <f t="shared" si="6"/>
        <v>3150000</v>
      </c>
      <c r="G29" s="55">
        <f t="shared" si="7"/>
        <v>3150000</v>
      </c>
      <c r="H29" s="55">
        <f t="shared" si="8"/>
        <v>3307500</v>
      </c>
      <c r="I29" s="55">
        <f t="shared" si="9"/>
        <v>3307500</v>
      </c>
    </row>
    <row r="30" spans="1:9" x14ac:dyDescent="0.45">
      <c r="A30" s="57" t="s">
        <v>103</v>
      </c>
      <c r="B30" s="68">
        <v>2</v>
      </c>
      <c r="C30" s="55">
        <f t="shared" si="3"/>
        <v>3150000</v>
      </c>
      <c r="D30" s="55">
        <f t="shared" si="4"/>
        <v>12915000</v>
      </c>
      <c r="E30" s="55" t="str">
        <f t="shared" si="5"/>
        <v/>
      </c>
      <c r="F30" s="55">
        <f t="shared" si="6"/>
        <v>3150000</v>
      </c>
      <c r="G30" s="55">
        <f t="shared" si="7"/>
        <v>3150000</v>
      </c>
      <c r="H30" s="55">
        <f t="shared" si="8"/>
        <v>3307500</v>
      </c>
      <c r="I30" s="55">
        <f t="shared" si="9"/>
        <v>3307500</v>
      </c>
    </row>
    <row r="31" spans="1:9" x14ac:dyDescent="0.45">
      <c r="A31" s="57" t="s">
        <v>104</v>
      </c>
      <c r="B31" s="68">
        <v>2</v>
      </c>
      <c r="C31" s="55">
        <f t="shared" si="3"/>
        <v>3150000</v>
      </c>
      <c r="D31" s="55">
        <f t="shared" si="4"/>
        <v>12915000</v>
      </c>
      <c r="E31" s="55" t="str">
        <f t="shared" si="5"/>
        <v/>
      </c>
      <c r="F31" s="55">
        <f t="shared" si="6"/>
        <v>3150000</v>
      </c>
      <c r="G31" s="55">
        <f t="shared" si="7"/>
        <v>3150000</v>
      </c>
      <c r="H31" s="55">
        <f t="shared" si="8"/>
        <v>3307500</v>
      </c>
      <c r="I31" s="55">
        <f t="shared" si="9"/>
        <v>3307500</v>
      </c>
    </row>
    <row r="32" spans="1:9" x14ac:dyDescent="0.45">
      <c r="A32" s="57" t="s">
        <v>105</v>
      </c>
      <c r="B32" s="68">
        <v>2</v>
      </c>
      <c r="C32" s="55">
        <f t="shared" si="3"/>
        <v>3150000</v>
      </c>
      <c r="D32" s="55">
        <f t="shared" si="4"/>
        <v>12915000</v>
      </c>
      <c r="E32" s="55" t="str">
        <f t="shared" si="5"/>
        <v/>
      </c>
      <c r="F32" s="55">
        <f t="shared" si="6"/>
        <v>3150000</v>
      </c>
      <c r="G32" s="55">
        <f t="shared" si="7"/>
        <v>3150000</v>
      </c>
      <c r="H32" s="55">
        <f t="shared" si="8"/>
        <v>3307500</v>
      </c>
      <c r="I32" s="55">
        <f t="shared" si="9"/>
        <v>3307500</v>
      </c>
    </row>
    <row r="33" spans="1:9" x14ac:dyDescent="0.45">
      <c r="A33" s="57" t="s">
        <v>106</v>
      </c>
      <c r="B33" s="68">
        <v>2</v>
      </c>
      <c r="C33" s="55">
        <f t="shared" si="3"/>
        <v>3150000</v>
      </c>
      <c r="D33" s="55">
        <f t="shared" si="4"/>
        <v>12915000</v>
      </c>
      <c r="E33" s="55" t="str">
        <f t="shared" si="5"/>
        <v/>
      </c>
      <c r="F33" s="55">
        <f t="shared" si="6"/>
        <v>3150000</v>
      </c>
      <c r="G33" s="55">
        <f t="shared" si="7"/>
        <v>3150000</v>
      </c>
      <c r="H33" s="55">
        <f t="shared" si="8"/>
        <v>3307500</v>
      </c>
      <c r="I33" s="55">
        <f t="shared" si="9"/>
        <v>3307500</v>
      </c>
    </row>
    <row r="34" spans="1:9" x14ac:dyDescent="0.45">
      <c r="A34" s="57" t="s">
        <v>107</v>
      </c>
      <c r="B34" s="68">
        <v>2</v>
      </c>
      <c r="C34" s="55">
        <f t="shared" si="3"/>
        <v>3150000</v>
      </c>
      <c r="D34" s="55">
        <f t="shared" si="4"/>
        <v>12915000</v>
      </c>
      <c r="E34" s="55" t="str">
        <f t="shared" si="5"/>
        <v/>
      </c>
      <c r="F34" s="55">
        <f t="shared" si="6"/>
        <v>3150000</v>
      </c>
      <c r="G34" s="55">
        <f t="shared" si="7"/>
        <v>3150000</v>
      </c>
      <c r="H34" s="55">
        <f t="shared" si="8"/>
        <v>3307500</v>
      </c>
      <c r="I34" s="55">
        <f t="shared" si="9"/>
        <v>3307500</v>
      </c>
    </row>
    <row r="35" spans="1:9" x14ac:dyDescent="0.45">
      <c r="A35" s="57" t="s">
        <v>108</v>
      </c>
      <c r="B35" s="68">
        <v>2</v>
      </c>
      <c r="C35" s="55">
        <f t="shared" si="3"/>
        <v>3150000</v>
      </c>
      <c r="D35" s="55">
        <f t="shared" si="4"/>
        <v>12915000</v>
      </c>
      <c r="E35" s="55" t="str">
        <f t="shared" si="5"/>
        <v/>
      </c>
      <c r="F35" s="55">
        <f t="shared" si="6"/>
        <v>3150000</v>
      </c>
      <c r="G35" s="55">
        <f t="shared" si="7"/>
        <v>3150000</v>
      </c>
      <c r="H35" s="55">
        <f t="shared" si="8"/>
        <v>3307500</v>
      </c>
      <c r="I35" s="55">
        <f t="shared" si="9"/>
        <v>3307500</v>
      </c>
    </row>
    <row r="36" spans="1:9" x14ac:dyDescent="0.45">
      <c r="A36" s="57" t="s">
        <v>109</v>
      </c>
      <c r="B36" s="68">
        <v>2</v>
      </c>
      <c r="C36" s="55">
        <f t="shared" si="3"/>
        <v>3150000</v>
      </c>
      <c r="D36" s="55">
        <f t="shared" si="4"/>
        <v>12915000</v>
      </c>
      <c r="E36" s="55" t="str">
        <f t="shared" si="5"/>
        <v/>
      </c>
      <c r="F36" s="55">
        <f t="shared" si="6"/>
        <v>3150000</v>
      </c>
      <c r="G36" s="55">
        <f t="shared" si="7"/>
        <v>3150000</v>
      </c>
      <c r="H36" s="55">
        <f t="shared" si="8"/>
        <v>3307500</v>
      </c>
      <c r="I36" s="55">
        <f t="shared" si="9"/>
        <v>3307500</v>
      </c>
    </row>
    <row r="37" spans="1:9" x14ac:dyDescent="0.45">
      <c r="A37" s="57" t="s">
        <v>110</v>
      </c>
      <c r="B37" s="68">
        <v>2</v>
      </c>
      <c r="C37" s="55">
        <f t="shared" si="3"/>
        <v>3150000</v>
      </c>
      <c r="D37" s="55">
        <f t="shared" si="4"/>
        <v>12915000</v>
      </c>
      <c r="E37" s="55" t="str">
        <f t="shared" si="5"/>
        <v/>
      </c>
      <c r="F37" s="55">
        <f t="shared" si="6"/>
        <v>3150000</v>
      </c>
      <c r="G37" s="55">
        <f t="shared" si="7"/>
        <v>3150000</v>
      </c>
      <c r="H37" s="55">
        <f t="shared" si="8"/>
        <v>3307500</v>
      </c>
      <c r="I37" s="55">
        <f t="shared" si="9"/>
        <v>3307500</v>
      </c>
    </row>
    <row r="38" spans="1:9" x14ac:dyDescent="0.45">
      <c r="A38" s="57" t="s">
        <v>111</v>
      </c>
      <c r="B38" s="68">
        <v>2</v>
      </c>
      <c r="C38" s="55">
        <f t="shared" si="3"/>
        <v>3150000</v>
      </c>
      <c r="D38" s="55">
        <f t="shared" si="4"/>
        <v>12915000</v>
      </c>
      <c r="E38" s="55" t="str">
        <f t="shared" si="5"/>
        <v/>
      </c>
      <c r="F38" s="55">
        <f t="shared" si="6"/>
        <v>3150000</v>
      </c>
      <c r="G38" s="55">
        <f t="shared" si="7"/>
        <v>3150000</v>
      </c>
      <c r="H38" s="55">
        <f t="shared" si="8"/>
        <v>3307500</v>
      </c>
      <c r="I38" s="55">
        <f t="shared" si="9"/>
        <v>3307500</v>
      </c>
    </row>
    <row r="39" spans="1:9" x14ac:dyDescent="0.45">
      <c r="A39" s="57" t="s">
        <v>112</v>
      </c>
      <c r="B39" s="68">
        <v>2</v>
      </c>
      <c r="C39" s="55">
        <f t="shared" si="3"/>
        <v>3150000</v>
      </c>
      <c r="D39" s="55">
        <f t="shared" si="4"/>
        <v>12915000</v>
      </c>
      <c r="E39" s="55" t="str">
        <f t="shared" si="5"/>
        <v/>
      </c>
      <c r="F39" s="55">
        <f t="shared" si="6"/>
        <v>3150000</v>
      </c>
      <c r="G39" s="55">
        <f t="shared" si="7"/>
        <v>3150000</v>
      </c>
      <c r="H39" s="55">
        <f t="shared" si="8"/>
        <v>3307500</v>
      </c>
      <c r="I39" s="55">
        <f t="shared" si="9"/>
        <v>3307500</v>
      </c>
    </row>
    <row r="40" spans="1:9" x14ac:dyDescent="0.45">
      <c r="A40" s="57" t="s">
        <v>113</v>
      </c>
      <c r="B40" s="68">
        <v>2</v>
      </c>
      <c r="C40" s="55">
        <f t="shared" si="3"/>
        <v>3150000</v>
      </c>
      <c r="D40" s="55">
        <f t="shared" si="4"/>
        <v>12915000</v>
      </c>
      <c r="E40" s="55" t="str">
        <f t="shared" si="5"/>
        <v/>
      </c>
      <c r="F40" s="55">
        <f t="shared" si="6"/>
        <v>3150000</v>
      </c>
      <c r="G40" s="55">
        <f t="shared" si="7"/>
        <v>3150000</v>
      </c>
      <c r="H40" s="55">
        <f t="shared" si="8"/>
        <v>3307500</v>
      </c>
      <c r="I40" s="55">
        <f t="shared" si="9"/>
        <v>3307500</v>
      </c>
    </row>
    <row r="41" spans="1:9" x14ac:dyDescent="0.45">
      <c r="A41" s="57" t="s">
        <v>114</v>
      </c>
      <c r="B41" s="68">
        <v>2</v>
      </c>
      <c r="C41" s="55">
        <f t="shared" si="3"/>
        <v>3150000</v>
      </c>
      <c r="D41" s="55">
        <f t="shared" si="4"/>
        <v>12915000</v>
      </c>
      <c r="E41" s="55" t="str">
        <f t="shared" si="5"/>
        <v/>
      </c>
      <c r="F41" s="55">
        <f t="shared" si="6"/>
        <v>3150000</v>
      </c>
      <c r="G41" s="55">
        <f t="shared" si="7"/>
        <v>3150000</v>
      </c>
      <c r="H41" s="55">
        <f t="shared" si="8"/>
        <v>3307500</v>
      </c>
      <c r="I41" s="55">
        <f t="shared" si="9"/>
        <v>3307500</v>
      </c>
    </row>
    <row r="42" spans="1:9" x14ac:dyDescent="0.45">
      <c r="A42" s="57" t="s">
        <v>115</v>
      </c>
      <c r="B42" s="68">
        <v>2</v>
      </c>
      <c r="C42" s="55">
        <f t="shared" si="3"/>
        <v>3150000</v>
      </c>
      <c r="D42" s="55">
        <f t="shared" si="4"/>
        <v>12915000</v>
      </c>
      <c r="E42" s="55" t="str">
        <f t="shared" si="5"/>
        <v/>
      </c>
      <c r="F42" s="55">
        <f t="shared" si="6"/>
        <v>3150000</v>
      </c>
      <c r="G42" s="55">
        <f t="shared" si="7"/>
        <v>3150000</v>
      </c>
      <c r="H42" s="55">
        <f t="shared" si="8"/>
        <v>3307500</v>
      </c>
      <c r="I42" s="55">
        <f t="shared" si="9"/>
        <v>3307500</v>
      </c>
    </row>
    <row r="43" spans="1:9" x14ac:dyDescent="0.45">
      <c r="A43" s="57" t="s">
        <v>116</v>
      </c>
      <c r="B43" s="68">
        <v>2</v>
      </c>
      <c r="C43" s="55">
        <f t="shared" si="3"/>
        <v>3150000</v>
      </c>
      <c r="D43" s="55">
        <f t="shared" si="4"/>
        <v>12915000</v>
      </c>
      <c r="E43" s="55" t="str">
        <f t="shared" si="5"/>
        <v/>
      </c>
      <c r="F43" s="55">
        <f t="shared" si="6"/>
        <v>3150000</v>
      </c>
      <c r="G43" s="55">
        <f t="shared" si="7"/>
        <v>3150000</v>
      </c>
      <c r="H43" s="55">
        <f t="shared" si="8"/>
        <v>3307500</v>
      </c>
      <c r="I43" s="55">
        <f t="shared" si="9"/>
        <v>3307500</v>
      </c>
    </row>
    <row r="44" spans="1:9" x14ac:dyDescent="0.45">
      <c r="A44" s="57" t="s">
        <v>117</v>
      </c>
      <c r="B44" s="68">
        <v>3</v>
      </c>
      <c r="C44" s="55">
        <f t="shared" si="3"/>
        <v>3150000</v>
      </c>
      <c r="D44" s="55">
        <f t="shared" si="4"/>
        <v>9765000</v>
      </c>
      <c r="E44" s="55" t="str">
        <f t="shared" si="5"/>
        <v/>
      </c>
      <c r="F44" s="55" t="str">
        <f t="shared" si="6"/>
        <v/>
      </c>
      <c r="G44" s="55">
        <f t="shared" si="7"/>
        <v>3150000</v>
      </c>
      <c r="H44" s="55">
        <f t="shared" si="8"/>
        <v>3307500</v>
      </c>
      <c r="I44" s="55">
        <f t="shared" si="9"/>
        <v>3307500</v>
      </c>
    </row>
    <row r="45" spans="1:9" x14ac:dyDescent="0.45">
      <c r="A45" s="57" t="s">
        <v>118</v>
      </c>
      <c r="B45" s="68">
        <v>3</v>
      </c>
      <c r="C45" s="55">
        <f t="shared" si="3"/>
        <v>3150000</v>
      </c>
      <c r="D45" s="55">
        <f t="shared" si="4"/>
        <v>9765000</v>
      </c>
      <c r="E45" s="55" t="str">
        <f t="shared" si="5"/>
        <v/>
      </c>
      <c r="F45" s="55" t="str">
        <f t="shared" si="6"/>
        <v/>
      </c>
      <c r="G45" s="55">
        <f t="shared" si="7"/>
        <v>3150000</v>
      </c>
      <c r="H45" s="55">
        <f t="shared" si="8"/>
        <v>3307500</v>
      </c>
      <c r="I45" s="55">
        <f t="shared" si="9"/>
        <v>3307500</v>
      </c>
    </row>
    <row r="46" spans="1:9" x14ac:dyDescent="0.45">
      <c r="A46" s="57" t="s">
        <v>119</v>
      </c>
      <c r="B46" s="68">
        <v>3</v>
      </c>
      <c r="C46" s="55">
        <f t="shared" si="3"/>
        <v>3150000</v>
      </c>
      <c r="D46" s="55">
        <f t="shared" si="4"/>
        <v>9765000</v>
      </c>
      <c r="E46" s="55" t="str">
        <f t="shared" si="5"/>
        <v/>
      </c>
      <c r="F46" s="55" t="str">
        <f t="shared" si="6"/>
        <v/>
      </c>
      <c r="G46" s="55">
        <f t="shared" si="7"/>
        <v>3150000</v>
      </c>
      <c r="H46" s="55">
        <f t="shared" si="8"/>
        <v>3307500</v>
      </c>
      <c r="I46" s="55">
        <f t="shared" si="9"/>
        <v>3307500</v>
      </c>
    </row>
    <row r="47" spans="1:9" x14ac:dyDescent="0.45">
      <c r="A47" s="57" t="s">
        <v>120</v>
      </c>
      <c r="B47" s="68">
        <v>3</v>
      </c>
      <c r="C47" s="55">
        <f t="shared" si="3"/>
        <v>3150000</v>
      </c>
      <c r="D47" s="55">
        <f t="shared" si="4"/>
        <v>9765000</v>
      </c>
      <c r="E47" s="55" t="str">
        <f t="shared" si="5"/>
        <v/>
      </c>
      <c r="F47" s="55" t="str">
        <f t="shared" si="6"/>
        <v/>
      </c>
      <c r="G47" s="55">
        <f t="shared" si="7"/>
        <v>3150000</v>
      </c>
      <c r="H47" s="55">
        <f t="shared" si="8"/>
        <v>3307500</v>
      </c>
      <c r="I47" s="55">
        <f t="shared" si="9"/>
        <v>3307500</v>
      </c>
    </row>
    <row r="48" spans="1:9" x14ac:dyDescent="0.45">
      <c r="A48" s="57" t="s">
        <v>121</v>
      </c>
      <c r="B48" s="68">
        <v>3</v>
      </c>
      <c r="C48" s="55">
        <f t="shared" si="3"/>
        <v>3150000</v>
      </c>
      <c r="D48" s="55">
        <f t="shared" si="4"/>
        <v>9765000</v>
      </c>
      <c r="E48" s="55" t="str">
        <f t="shared" si="5"/>
        <v/>
      </c>
      <c r="F48" s="55" t="str">
        <f t="shared" si="6"/>
        <v/>
      </c>
      <c r="G48" s="55">
        <f t="shared" si="7"/>
        <v>3150000</v>
      </c>
      <c r="H48" s="55">
        <f t="shared" si="8"/>
        <v>3307500</v>
      </c>
      <c r="I48" s="55">
        <f t="shared" si="9"/>
        <v>3307500</v>
      </c>
    </row>
    <row r="49" spans="1:9" x14ac:dyDescent="0.45">
      <c r="A49" s="51" t="s">
        <v>48</v>
      </c>
      <c r="B49" s="52"/>
      <c r="C49" s="52"/>
      <c r="D49" s="69">
        <f t="shared" ref="D49:I49" si="10">D15+D16</f>
        <v>584705000</v>
      </c>
      <c r="E49" s="69">
        <f t="shared" si="10"/>
        <v>127355000</v>
      </c>
      <c r="F49" s="69">
        <f t="shared" si="10"/>
        <v>136950000</v>
      </c>
      <c r="G49" s="69">
        <f t="shared" si="10"/>
        <v>121950000</v>
      </c>
      <c r="H49" s="69">
        <f t="shared" si="10"/>
        <v>99225000</v>
      </c>
      <c r="I49" s="69">
        <f t="shared" si="10"/>
        <v>99225000</v>
      </c>
    </row>
    <row r="50" spans="1:9" x14ac:dyDescent="0.45">
      <c r="A50" s="70" t="s">
        <v>49</v>
      </c>
      <c r="B50" s="57"/>
      <c r="C50" s="57"/>
      <c r="D50" s="71">
        <f t="shared" ref="D50:I50" si="11">D49/10000000</f>
        <v>58.470500000000001</v>
      </c>
      <c r="E50" s="71">
        <f t="shared" si="11"/>
        <v>12.7355</v>
      </c>
      <c r="F50" s="71">
        <f t="shared" si="11"/>
        <v>13.695</v>
      </c>
      <c r="G50" s="71">
        <f t="shared" si="11"/>
        <v>12.195</v>
      </c>
      <c r="H50" s="71">
        <f t="shared" si="11"/>
        <v>9.9224999999999994</v>
      </c>
      <c r="I50" s="71">
        <f t="shared" si="11"/>
        <v>9.9224999999999994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E3F8F"/>
  </sheetPr>
  <dimension ref="A1:G39"/>
  <sheetViews>
    <sheetView showGridLines="0" workbookViewId="0"/>
  </sheetViews>
  <sheetFormatPr defaultColWidth="8.59765625" defaultRowHeight="14.25" x14ac:dyDescent="0.45"/>
  <cols>
    <col min="1" max="1" width="63.46484375" customWidth="1"/>
    <col min="2" max="2" width="22" customWidth="1"/>
    <col min="3" max="3" width="14" customWidth="1"/>
    <col min="4" max="4" width="20" customWidth="1"/>
    <col min="5" max="5" width="62" customWidth="1"/>
    <col min="6" max="7" width="16" customWidth="1"/>
  </cols>
  <sheetData>
    <row r="1" spans="1:5" ht="19.5" customHeight="1" x14ac:dyDescent="0.6">
      <c r="A1" s="48" t="s">
        <v>122</v>
      </c>
    </row>
    <row r="2" spans="1:5" x14ac:dyDescent="0.45">
      <c r="A2" s="49"/>
    </row>
    <row r="4" spans="1:5" x14ac:dyDescent="0.45">
      <c r="A4" s="50" t="s">
        <v>123</v>
      </c>
      <c r="B4" s="50" t="s">
        <v>124</v>
      </c>
      <c r="C4" s="50" t="s">
        <v>125</v>
      </c>
      <c r="D4" s="50" t="s">
        <v>52</v>
      </c>
      <c r="E4" s="50" t="s">
        <v>126</v>
      </c>
    </row>
    <row r="5" spans="1:5" x14ac:dyDescent="0.45">
      <c r="A5" s="57" t="s">
        <v>127</v>
      </c>
      <c r="B5" s="61" t="s">
        <v>128</v>
      </c>
      <c r="C5" s="72">
        <v>0.1</v>
      </c>
      <c r="D5" s="55">
        <f>C5*'Price Proposal'!$D$5</f>
        <v>4418000</v>
      </c>
      <c r="E5" s="53" t="s">
        <v>129</v>
      </c>
    </row>
    <row r="6" spans="1:5" x14ac:dyDescent="0.45">
      <c r="A6" s="57" t="s">
        <v>130</v>
      </c>
      <c r="B6" s="61" t="s">
        <v>131</v>
      </c>
      <c r="C6" s="72">
        <v>0.25</v>
      </c>
      <c r="D6" s="55">
        <f>C6*'Price Proposal'!$D$5</f>
        <v>11045000</v>
      </c>
      <c r="E6" s="53" t="s">
        <v>132</v>
      </c>
    </row>
    <row r="7" spans="1:5" x14ac:dyDescent="0.45">
      <c r="A7" s="57" t="s">
        <v>133</v>
      </c>
      <c r="B7" s="61" t="s">
        <v>134</v>
      </c>
      <c r="C7" s="72">
        <v>0.2</v>
      </c>
      <c r="D7" s="55">
        <f>C7*'Price Proposal'!$D$5</f>
        <v>8836000</v>
      </c>
      <c r="E7" s="53" t="s">
        <v>135</v>
      </c>
    </row>
    <row r="8" spans="1:5" x14ac:dyDescent="0.45">
      <c r="A8" s="57" t="s">
        <v>136</v>
      </c>
      <c r="B8" s="61" t="s">
        <v>137</v>
      </c>
      <c r="C8" s="72">
        <v>0.2</v>
      </c>
      <c r="D8" s="55">
        <f>C8*'Price Proposal'!$D$5</f>
        <v>8836000</v>
      </c>
      <c r="E8" s="53" t="s">
        <v>138</v>
      </c>
    </row>
    <row r="9" spans="1:5" x14ac:dyDescent="0.45">
      <c r="A9" s="57" t="s">
        <v>139</v>
      </c>
      <c r="B9" s="61" t="s">
        <v>140</v>
      </c>
      <c r="C9" s="72">
        <v>0.15</v>
      </c>
      <c r="D9" s="55">
        <f>C9*'Price Proposal'!$D$5</f>
        <v>6627000</v>
      </c>
      <c r="E9" s="53" t="s">
        <v>141</v>
      </c>
    </row>
    <row r="10" spans="1:5" x14ac:dyDescent="0.45">
      <c r="A10" s="57" t="s">
        <v>142</v>
      </c>
      <c r="B10" s="61" t="s">
        <v>143</v>
      </c>
      <c r="C10" s="72">
        <v>0.1</v>
      </c>
      <c r="D10" s="55">
        <f>C10*'Price Proposal'!$D$5</f>
        <v>4418000</v>
      </c>
      <c r="E10" s="53" t="s">
        <v>144</v>
      </c>
    </row>
    <row r="11" spans="1:5" x14ac:dyDescent="0.45">
      <c r="A11" s="63" t="s">
        <v>145</v>
      </c>
      <c r="B11" s="64"/>
      <c r="C11" s="73">
        <f>SUM(C5:C10)</f>
        <v>1</v>
      </c>
      <c r="D11" s="65">
        <f>SUM(D5:D10)</f>
        <v>44180000</v>
      </c>
      <c r="E11" s="63" t="str">
        <f>IF(AND(ABS(C11-1)&lt;0.0001,ABS(D11-'Price Proposal'!$D$5)&lt;1),"OK: ties to Price Proposal","CHECK")</f>
        <v>OK: ties to Price Proposal</v>
      </c>
    </row>
    <row r="13" spans="1:5" ht="25.5" customHeight="1" x14ac:dyDescent="0.45">
      <c r="A13" s="50" t="s">
        <v>146</v>
      </c>
      <c r="B13" s="50" t="s">
        <v>147</v>
      </c>
      <c r="C13" s="50"/>
      <c r="D13" s="50" t="s">
        <v>52</v>
      </c>
      <c r="E13" s="50" t="s">
        <v>148</v>
      </c>
    </row>
    <row r="14" spans="1:5" ht="24.75" customHeight="1" x14ac:dyDescent="0.45">
      <c r="A14" s="57" t="s">
        <v>149</v>
      </c>
      <c r="B14" s="61" t="s">
        <v>150</v>
      </c>
      <c r="C14" s="57"/>
      <c r="D14" s="55">
        <f>'Price Proposal'!E15-'Price Proposal'!E5</f>
        <v>61125000</v>
      </c>
      <c r="E14" s="53" t="s">
        <v>151</v>
      </c>
    </row>
    <row r="15" spans="1:5" x14ac:dyDescent="0.45">
      <c r="A15" s="57" t="s">
        <v>152</v>
      </c>
      <c r="B15" s="61" t="s">
        <v>150</v>
      </c>
      <c r="C15" s="57"/>
      <c r="D15" s="55">
        <f>'Price Proposal'!F15</f>
        <v>58200000</v>
      </c>
      <c r="E15" s="53" t="s">
        <v>153</v>
      </c>
    </row>
    <row r="16" spans="1:5" x14ac:dyDescent="0.45">
      <c r="A16" s="57" t="s">
        <v>154</v>
      </c>
      <c r="B16" s="61" t="s">
        <v>150</v>
      </c>
      <c r="C16" s="57"/>
      <c r="D16" s="55">
        <f>'Price Proposal'!G15</f>
        <v>27450000</v>
      </c>
      <c r="E16" s="53" t="s">
        <v>155</v>
      </c>
    </row>
    <row r="17" spans="1:7" x14ac:dyDescent="0.45">
      <c r="A17" s="63" t="s">
        <v>156</v>
      </c>
      <c r="B17" s="64"/>
      <c r="C17" s="64"/>
      <c r="D17" s="65">
        <f>SUM(D14:D16)</f>
        <v>146775000</v>
      </c>
      <c r="E17" s="63" t="str">
        <f>IF(ABS(D11+D17-'Price Proposal'!D15)&lt;1,"OK: with A, ties to total implementation","CHECK")</f>
        <v>OK: with A, ties to total implementation</v>
      </c>
    </row>
    <row r="19" spans="1:7" x14ac:dyDescent="0.45">
      <c r="A19" s="50" t="s">
        <v>157</v>
      </c>
      <c r="B19" s="50" t="s">
        <v>147</v>
      </c>
      <c r="C19" s="50"/>
      <c r="D19" s="50" t="s">
        <v>52</v>
      </c>
      <c r="E19" s="50" t="s">
        <v>148</v>
      </c>
    </row>
    <row r="20" spans="1:7" ht="24.75" customHeight="1" x14ac:dyDescent="0.45">
      <c r="A20" s="57" t="s">
        <v>158</v>
      </c>
      <c r="B20" s="61" t="s">
        <v>159</v>
      </c>
      <c r="C20" s="57"/>
      <c r="D20" s="55">
        <f>'Price Proposal'!E16</f>
        <v>22050000</v>
      </c>
      <c r="E20" s="53" t="s">
        <v>160</v>
      </c>
    </row>
    <row r="21" spans="1:7" ht="24.75" customHeight="1" x14ac:dyDescent="0.45">
      <c r="A21" s="57" t="s">
        <v>161</v>
      </c>
      <c r="B21" s="61" t="s">
        <v>159</v>
      </c>
      <c r="C21" s="57"/>
      <c r="D21" s="55">
        <f>'Price Proposal'!F16</f>
        <v>78750000</v>
      </c>
      <c r="E21" s="53" t="s">
        <v>162</v>
      </c>
    </row>
    <row r="22" spans="1:7" ht="24.75" customHeight="1" x14ac:dyDescent="0.45">
      <c r="A22" s="57" t="s">
        <v>163</v>
      </c>
      <c r="B22" s="61" t="s">
        <v>159</v>
      </c>
      <c r="C22" s="57"/>
      <c r="D22" s="55">
        <f>'Price Proposal'!G16</f>
        <v>94500000</v>
      </c>
      <c r="E22" s="53" t="s">
        <v>162</v>
      </c>
    </row>
    <row r="23" spans="1:7" ht="24.75" customHeight="1" x14ac:dyDescent="0.45">
      <c r="A23" s="57" t="s">
        <v>164</v>
      </c>
      <c r="B23" s="61" t="s">
        <v>159</v>
      </c>
      <c r="C23" s="57"/>
      <c r="D23" s="55">
        <f>'Price Proposal'!H16</f>
        <v>99225000</v>
      </c>
      <c r="E23" s="53" t="s">
        <v>162</v>
      </c>
    </row>
    <row r="24" spans="1:7" ht="24.75" customHeight="1" x14ac:dyDescent="0.45">
      <c r="A24" s="57" t="s">
        <v>165</v>
      </c>
      <c r="B24" s="61" t="s">
        <v>159</v>
      </c>
      <c r="C24" s="57"/>
      <c r="D24" s="55">
        <f>'Price Proposal'!I16</f>
        <v>99225000</v>
      </c>
      <c r="E24" s="53" t="s">
        <v>162</v>
      </c>
    </row>
    <row r="25" spans="1:7" x14ac:dyDescent="0.45">
      <c r="A25" s="63" t="s">
        <v>166</v>
      </c>
      <c r="B25" s="64"/>
      <c r="C25" s="64"/>
      <c r="D25" s="65">
        <f>SUM(D20:D24)</f>
        <v>393750000</v>
      </c>
      <c r="E25" s="63" t="str">
        <f>IF(ABS(D25-'Price Proposal'!D16)&lt;1,"OK: ties to Price Proposal","CHECK")</f>
        <v>OK: ties to Price Proposal</v>
      </c>
    </row>
    <row r="27" spans="1:7" x14ac:dyDescent="0.45">
      <c r="A27" s="50" t="s">
        <v>167</v>
      </c>
      <c r="B27" s="50" t="s">
        <v>8</v>
      </c>
      <c r="C27" s="50" t="s">
        <v>9</v>
      </c>
      <c r="D27" s="50" t="s">
        <v>10</v>
      </c>
      <c r="E27" s="50" t="s">
        <v>11</v>
      </c>
      <c r="F27" s="50" t="s">
        <v>12</v>
      </c>
      <c r="G27" s="50" t="s">
        <v>22</v>
      </c>
    </row>
    <row r="28" spans="1:7" x14ac:dyDescent="0.45">
      <c r="A28" s="57" t="s">
        <v>168</v>
      </c>
      <c r="B28" s="55">
        <f>$D$11</f>
        <v>44180000</v>
      </c>
      <c r="C28" s="55">
        <v>0</v>
      </c>
      <c r="D28" s="55">
        <v>0</v>
      </c>
      <c r="E28" s="55">
        <v>0</v>
      </c>
      <c r="F28" s="55">
        <v>0</v>
      </c>
      <c r="G28" s="55">
        <f>SUM(B28:F28)</f>
        <v>44180000</v>
      </c>
    </row>
    <row r="29" spans="1:7" x14ac:dyDescent="0.45">
      <c r="A29" s="57" t="s">
        <v>169</v>
      </c>
      <c r="B29" s="55">
        <f>D14</f>
        <v>61125000</v>
      </c>
      <c r="C29" s="55">
        <f>D15</f>
        <v>58200000</v>
      </c>
      <c r="D29" s="55">
        <f>D16</f>
        <v>27450000</v>
      </c>
      <c r="E29" s="55">
        <v>0</v>
      </c>
      <c r="F29" s="55">
        <v>0</v>
      </c>
      <c r="G29" s="55">
        <f>SUM(B29:F29)</f>
        <v>146775000</v>
      </c>
    </row>
    <row r="30" spans="1:7" x14ac:dyDescent="0.45">
      <c r="A30" s="57" t="s">
        <v>170</v>
      </c>
      <c r="B30" s="55">
        <f>D20</f>
        <v>22050000</v>
      </c>
      <c r="C30" s="55">
        <f>D21</f>
        <v>78750000</v>
      </c>
      <c r="D30" s="55">
        <f>D22</f>
        <v>94500000</v>
      </c>
      <c r="E30" s="55">
        <f>D23</f>
        <v>99225000</v>
      </c>
      <c r="F30" s="55">
        <f>D24</f>
        <v>99225000</v>
      </c>
      <c r="G30" s="55">
        <f>SUM(B30:F30)</f>
        <v>393750000</v>
      </c>
    </row>
    <row r="31" spans="1:7" x14ac:dyDescent="0.45">
      <c r="A31" s="63" t="s">
        <v>171</v>
      </c>
      <c r="B31" s="65">
        <f t="shared" ref="B31:G31" si="0">SUM(B28:B30)</f>
        <v>127355000</v>
      </c>
      <c r="C31" s="65">
        <f t="shared" si="0"/>
        <v>136950000</v>
      </c>
      <c r="D31" s="65">
        <f t="shared" si="0"/>
        <v>121950000</v>
      </c>
      <c r="E31" s="65">
        <f t="shared" si="0"/>
        <v>99225000</v>
      </c>
      <c r="F31" s="65">
        <f t="shared" si="0"/>
        <v>99225000</v>
      </c>
      <c r="G31" s="65">
        <f t="shared" si="0"/>
        <v>584705000</v>
      </c>
    </row>
    <row r="33" spans="1:5" x14ac:dyDescent="0.45">
      <c r="A33" s="74" t="s">
        <v>172</v>
      </c>
    </row>
    <row r="34" spans="1:5" ht="14.25" customHeight="1" x14ac:dyDescent="0.45">
      <c r="A34" s="80" t="s">
        <v>173</v>
      </c>
      <c r="B34" s="80"/>
      <c r="C34" s="80"/>
      <c r="D34" s="80"/>
      <c r="E34" s="80"/>
    </row>
    <row r="35" spans="1:5" ht="14.25" customHeight="1" x14ac:dyDescent="0.45">
      <c r="A35" s="80" t="s">
        <v>174</v>
      </c>
      <c r="B35" s="80"/>
      <c r="C35" s="80"/>
      <c r="D35" s="80"/>
      <c r="E35" s="80"/>
    </row>
    <row r="36" spans="1:5" ht="14.25" customHeight="1" x14ac:dyDescent="0.45">
      <c r="A36" s="80" t="s">
        <v>175</v>
      </c>
      <c r="B36" s="80"/>
      <c r="C36" s="80"/>
      <c r="D36" s="80"/>
      <c r="E36" s="80"/>
    </row>
    <row r="37" spans="1:5" ht="14.25" customHeight="1" x14ac:dyDescent="0.45">
      <c r="A37" s="80" t="s">
        <v>176</v>
      </c>
      <c r="B37" s="80"/>
      <c r="C37" s="80"/>
      <c r="D37" s="80"/>
      <c r="E37" s="80"/>
    </row>
    <row r="38" spans="1:5" ht="14.25" customHeight="1" x14ac:dyDescent="0.45">
      <c r="A38" s="80" t="s">
        <v>177</v>
      </c>
      <c r="B38" s="80"/>
      <c r="C38" s="80"/>
      <c r="D38" s="80"/>
      <c r="E38" s="80"/>
    </row>
    <row r="39" spans="1:5" ht="14.25" customHeight="1" x14ac:dyDescent="0.45">
      <c r="A39" s="80" t="s">
        <v>178</v>
      </c>
      <c r="B39" s="80"/>
      <c r="C39" s="80"/>
      <c r="D39" s="80"/>
      <c r="E39" s="80"/>
    </row>
  </sheetData>
  <mergeCells count="6">
    <mergeCell ref="A39:E39"/>
    <mergeCell ref="A34:E34"/>
    <mergeCell ref="A35:E35"/>
    <mergeCell ref="A36:E36"/>
    <mergeCell ref="A37:E37"/>
    <mergeCell ref="A38:E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5"/>
  <sheetViews>
    <sheetView showGridLines="0" tabSelected="1" workbookViewId="0">
      <pane ySplit="6" topLeftCell="A10" activePane="bottomLeft" state="frozen"/>
      <selection pane="bottomLeft" activeCell="A17" sqref="A17:E18"/>
    </sheetView>
  </sheetViews>
  <sheetFormatPr defaultRowHeight="14.25" x14ac:dyDescent="0.45"/>
  <cols>
    <col min="1" max="1" width="85" customWidth="1"/>
    <col min="2" max="5" width="24" customWidth="1"/>
  </cols>
  <sheetData>
    <row r="1" spans="1:5" ht="32" customHeight="1" thickBot="1" x14ac:dyDescent="0.5">
      <c r="A1" s="91" t="s">
        <v>179</v>
      </c>
      <c r="B1" s="92"/>
      <c r="C1" s="92"/>
      <c r="D1" s="92"/>
      <c r="E1" s="93"/>
    </row>
    <row r="2" spans="1:5" x14ac:dyDescent="0.45">
      <c r="A2" s="100" t="s">
        <v>202</v>
      </c>
      <c r="B2" s="100"/>
      <c r="C2" s="100"/>
      <c r="D2" s="100"/>
      <c r="E2" s="100"/>
    </row>
    <row r="3" spans="1:5" x14ac:dyDescent="0.45">
      <c r="A3" s="100"/>
      <c r="B3" s="100"/>
      <c r="C3" s="100"/>
      <c r="D3" s="100"/>
      <c r="E3" s="100"/>
    </row>
    <row r="4" spans="1:5" ht="14.65" thickBot="1" x14ac:dyDescent="0.5">
      <c r="A4" s="81"/>
      <c r="B4" s="81"/>
      <c r="C4" s="81"/>
      <c r="D4" s="81"/>
      <c r="E4" s="81"/>
    </row>
    <row r="5" spans="1:5" ht="27" customHeight="1" x14ac:dyDescent="0.45">
      <c r="A5" s="94" t="s">
        <v>180</v>
      </c>
      <c r="B5" s="95" t="s">
        <v>181</v>
      </c>
      <c r="C5" s="95" t="s">
        <v>182</v>
      </c>
      <c r="D5" s="96" t="s">
        <v>183</v>
      </c>
      <c r="E5" s="97" t="s">
        <v>184</v>
      </c>
    </row>
    <row r="6" spans="1:5" ht="16.149999999999999" thickBot="1" x14ac:dyDescent="0.5">
      <c r="A6" s="101" t="s">
        <v>185</v>
      </c>
      <c r="B6" s="102">
        <v>0</v>
      </c>
      <c r="C6" s="102">
        <v>0.2</v>
      </c>
      <c r="D6" s="103">
        <v>0.25</v>
      </c>
      <c r="E6" s="104">
        <v>0.3</v>
      </c>
    </row>
    <row r="7" spans="1:5" ht="14.65" thickBot="1" x14ac:dyDescent="0.5">
      <c r="A7" s="81"/>
      <c r="B7" s="81"/>
      <c r="C7" s="81"/>
      <c r="D7" s="82"/>
      <c r="E7" s="81"/>
    </row>
    <row r="8" spans="1:5" ht="27" customHeight="1" x14ac:dyDescent="0.45">
      <c r="A8" s="98" t="s">
        <v>186</v>
      </c>
      <c r="B8" s="83"/>
      <c r="C8" s="83"/>
      <c r="D8" s="83"/>
      <c r="E8" s="84"/>
    </row>
    <row r="9" spans="1:5" ht="35" customHeight="1" x14ac:dyDescent="0.45">
      <c r="A9" s="105" t="str">
        <f>'Price Proposal'!A5</f>
        <v>Basic Platform &amp; Customization (One Time) for 1st BU</v>
      </c>
      <c r="B9" s="106">
        <f>'Price Proposal'!D5</f>
        <v>44180000</v>
      </c>
      <c r="C9" s="106">
        <f t="shared" ref="C9:E16" si="0">$B9*(1+C$6)</f>
        <v>53016000</v>
      </c>
      <c r="D9" s="107">
        <f t="shared" si="0"/>
        <v>55225000</v>
      </c>
      <c r="E9" s="108">
        <f t="shared" si="0"/>
        <v>57434000</v>
      </c>
    </row>
    <row r="10" spans="1:5" ht="35" customHeight="1" x14ac:dyDescent="0.45">
      <c r="A10" s="105" t="str">
        <f>'Price Proposal'!A6</f>
        <v>Project Governance &amp; Transformation PMO (External) - 3 Resources - 9 Months (27 Person Months)</v>
      </c>
      <c r="B10" s="106">
        <f>'Price Proposal'!D6</f>
        <v>15525000</v>
      </c>
      <c r="C10" s="106">
        <f t="shared" si="0"/>
        <v>18630000</v>
      </c>
      <c r="D10" s="107">
        <f t="shared" si="0"/>
        <v>19406250</v>
      </c>
      <c r="E10" s="108">
        <f t="shared" si="0"/>
        <v>20182500</v>
      </c>
    </row>
    <row r="11" spans="1:5" ht="35" customHeight="1" x14ac:dyDescent="0.45">
      <c r="A11" s="105" t="str">
        <f>'Price Proposal'!A7</f>
        <v>SAFAL Project Managers - 3 Resources - 24 Months (72 Person Months)</v>
      </c>
      <c r="B11" s="106">
        <f>'Price Proposal'!D7</f>
        <v>25200000</v>
      </c>
      <c r="C11" s="106">
        <f t="shared" si="0"/>
        <v>30240000</v>
      </c>
      <c r="D11" s="107">
        <f t="shared" si="0"/>
        <v>31500000</v>
      </c>
      <c r="E11" s="108">
        <f t="shared" si="0"/>
        <v>32760000</v>
      </c>
    </row>
    <row r="12" spans="1:5" ht="35" customHeight="1" x14ac:dyDescent="0.45">
      <c r="A12" s="105" t="str">
        <f>'Price Proposal'!A8</f>
        <v>SAFAL Project Coordinators - 6 Resources - 24 Months (144 Person Months)</v>
      </c>
      <c r="B12" s="106">
        <f>'Price Proposal'!D8</f>
        <v>25200000</v>
      </c>
      <c r="C12" s="106">
        <f t="shared" si="0"/>
        <v>30240000</v>
      </c>
      <c r="D12" s="107">
        <f t="shared" si="0"/>
        <v>31500000</v>
      </c>
      <c r="E12" s="108">
        <f t="shared" si="0"/>
        <v>32760000</v>
      </c>
    </row>
    <row r="13" spans="1:5" ht="35" customHeight="1" x14ac:dyDescent="0.45">
      <c r="A13" s="105" t="str">
        <f>'Price Proposal'!A9</f>
        <v>SAP Integration - 4 Persons - 30 Months (120 Person Months)</v>
      </c>
      <c r="B13" s="106">
        <f>'Price Proposal'!D9</f>
        <v>42000000</v>
      </c>
      <c r="C13" s="106">
        <f t="shared" si="0"/>
        <v>50400000</v>
      </c>
      <c r="D13" s="107">
        <f t="shared" si="0"/>
        <v>52500000</v>
      </c>
      <c r="E13" s="108">
        <f t="shared" si="0"/>
        <v>54600000</v>
      </c>
    </row>
    <row r="14" spans="1:5" ht="35" customHeight="1" x14ac:dyDescent="0.45">
      <c r="A14" s="105" t="str">
        <f>'Price Proposal'!A10</f>
        <v>Ariba Integration - 1 Person - 24 Months (24 Person Months)</v>
      </c>
      <c r="B14" s="106">
        <f>'Price Proposal'!D10</f>
        <v>6600000</v>
      </c>
      <c r="C14" s="106">
        <f t="shared" si="0"/>
        <v>7920000</v>
      </c>
      <c r="D14" s="107">
        <f t="shared" si="0"/>
        <v>8250000</v>
      </c>
      <c r="E14" s="108">
        <f t="shared" si="0"/>
        <v>8580000</v>
      </c>
    </row>
    <row r="15" spans="1:5" ht="35" customHeight="1" x14ac:dyDescent="0.45">
      <c r="A15" s="105" t="str">
        <f>'Price Proposal'!A11</f>
        <v>Lead Architect &amp; Cloud Hosting - 1 Person - 30 Months (30 Person Months)</v>
      </c>
      <c r="B15" s="106">
        <f>'Price Proposal'!D11</f>
        <v>15750000</v>
      </c>
      <c r="C15" s="106">
        <f t="shared" si="0"/>
        <v>18900000</v>
      </c>
      <c r="D15" s="107">
        <f t="shared" si="0"/>
        <v>19687500</v>
      </c>
      <c r="E15" s="108">
        <f t="shared" si="0"/>
        <v>20475000</v>
      </c>
    </row>
    <row r="16" spans="1:5" ht="35" customHeight="1" x14ac:dyDescent="0.45">
      <c r="A16" s="105" t="str">
        <f>'Price Proposal'!A12</f>
        <v>Other Integrations REST APIs - 2 Persons - 30 Months (60 Person Months)</v>
      </c>
      <c r="B16" s="106">
        <f>'Price Proposal'!D12</f>
        <v>16500000</v>
      </c>
      <c r="C16" s="106">
        <f t="shared" si="0"/>
        <v>19800000</v>
      </c>
      <c r="D16" s="107">
        <f t="shared" si="0"/>
        <v>20625000</v>
      </c>
      <c r="E16" s="108">
        <f t="shared" si="0"/>
        <v>21450000</v>
      </c>
    </row>
    <row r="17" spans="1:5" ht="35" customHeight="1" x14ac:dyDescent="0.45">
      <c r="A17" s="105" t="str">
        <f>'Price Proposal'!A13</f>
        <v>UAT, SIT and Go-Live Training (Ahmedabad Location): included</v>
      </c>
      <c r="B17" s="106" t="s">
        <v>39</v>
      </c>
      <c r="C17" s="106" t="s">
        <v>39</v>
      </c>
      <c r="D17" s="107" t="s">
        <v>39</v>
      </c>
      <c r="E17" s="108" t="s">
        <v>39</v>
      </c>
    </row>
    <row r="18" spans="1:5" ht="35" customHeight="1" x14ac:dyDescent="0.45">
      <c r="A18" s="105" t="str">
        <f>'Price Proposal'!A14</f>
        <v>Hypercare Support from Ahmedabad Location (60 Days): included</v>
      </c>
      <c r="B18" s="106" t="s">
        <v>39</v>
      </c>
      <c r="C18" s="106" t="s">
        <v>39</v>
      </c>
      <c r="D18" s="107" t="s">
        <v>39</v>
      </c>
      <c r="E18" s="108" t="s">
        <v>39</v>
      </c>
    </row>
    <row r="19" spans="1:5" ht="16.149999999999999" thickBot="1" x14ac:dyDescent="0.5">
      <c r="A19" s="109" t="s">
        <v>187</v>
      </c>
      <c r="B19" s="110">
        <f>SUM(B9:B18)</f>
        <v>190955000</v>
      </c>
      <c r="C19" s="110">
        <f>SUM(C9:C18)</f>
        <v>229146000</v>
      </c>
      <c r="D19" s="111">
        <f>SUM(D9:D18)</f>
        <v>238693750</v>
      </c>
      <c r="E19" s="112">
        <f>SUM(E9:E18)</f>
        <v>248241500</v>
      </c>
    </row>
    <row r="20" spans="1:5" x14ac:dyDescent="0.45">
      <c r="A20" s="85"/>
      <c r="B20" s="86"/>
      <c r="C20" s="86"/>
      <c r="D20" s="87"/>
      <c r="E20" s="86"/>
    </row>
    <row r="21" spans="1:5" x14ac:dyDescent="0.45">
      <c r="A21" s="81"/>
      <c r="B21" s="88"/>
      <c r="C21" s="88"/>
      <c r="D21" s="89"/>
      <c r="E21" s="88"/>
    </row>
    <row r="22" spans="1:5" ht="27" customHeight="1" x14ac:dyDescent="0.45">
      <c r="A22" s="99" t="s">
        <v>188</v>
      </c>
      <c r="B22" s="90"/>
      <c r="C22" s="90"/>
      <c r="D22" s="90"/>
      <c r="E22" s="90"/>
    </row>
    <row r="23" spans="1:5" ht="15.75" x14ac:dyDescent="0.45">
      <c r="A23" s="113" t="str">
        <f>'Price Proposal'!A19</f>
        <v>Business Unit 1</v>
      </c>
      <c r="B23" s="106">
        <f>'Price Proposal'!D19</f>
        <v>16065000</v>
      </c>
      <c r="C23" s="106">
        <f t="shared" ref="C23:E52" si="1">$B23*(1+C$6)</f>
        <v>19278000</v>
      </c>
      <c r="D23" s="107">
        <f t="shared" si="1"/>
        <v>20081250</v>
      </c>
      <c r="E23" s="106">
        <f t="shared" si="1"/>
        <v>20884500</v>
      </c>
    </row>
    <row r="24" spans="1:5" ht="15.75" x14ac:dyDescent="0.45">
      <c r="A24" s="113" t="str">
        <f>'Price Proposal'!A20</f>
        <v>Business Unit 2</v>
      </c>
      <c r="B24" s="106">
        <f>'Price Proposal'!D20</f>
        <v>16065000</v>
      </c>
      <c r="C24" s="106">
        <f t="shared" si="1"/>
        <v>19278000</v>
      </c>
      <c r="D24" s="107">
        <f t="shared" si="1"/>
        <v>20081250</v>
      </c>
      <c r="E24" s="106">
        <f t="shared" si="1"/>
        <v>20884500</v>
      </c>
    </row>
    <row r="25" spans="1:5" ht="15.75" x14ac:dyDescent="0.45">
      <c r="A25" s="113" t="str">
        <f>'Price Proposal'!A21</f>
        <v>Business Unit 3</v>
      </c>
      <c r="B25" s="106">
        <f>'Price Proposal'!D21</f>
        <v>16065000</v>
      </c>
      <c r="C25" s="106">
        <f t="shared" si="1"/>
        <v>19278000</v>
      </c>
      <c r="D25" s="107">
        <f t="shared" si="1"/>
        <v>20081250</v>
      </c>
      <c r="E25" s="106">
        <f t="shared" si="1"/>
        <v>20884500</v>
      </c>
    </row>
    <row r="26" spans="1:5" ht="15.75" x14ac:dyDescent="0.45">
      <c r="A26" s="113" t="str">
        <f>'Price Proposal'!A22</f>
        <v>Business Unit 4</v>
      </c>
      <c r="B26" s="106">
        <f>'Price Proposal'!D22</f>
        <v>16065000</v>
      </c>
      <c r="C26" s="106">
        <f t="shared" si="1"/>
        <v>19278000</v>
      </c>
      <c r="D26" s="107">
        <f t="shared" si="1"/>
        <v>20081250</v>
      </c>
      <c r="E26" s="106">
        <f t="shared" si="1"/>
        <v>20884500</v>
      </c>
    </row>
    <row r="27" spans="1:5" ht="15.75" x14ac:dyDescent="0.45">
      <c r="A27" s="113" t="str">
        <f>'Price Proposal'!A23</f>
        <v>Business Unit 5</v>
      </c>
      <c r="B27" s="106">
        <f>'Price Proposal'!D23</f>
        <v>16065000</v>
      </c>
      <c r="C27" s="106">
        <f t="shared" si="1"/>
        <v>19278000</v>
      </c>
      <c r="D27" s="107">
        <f t="shared" si="1"/>
        <v>20081250</v>
      </c>
      <c r="E27" s="106">
        <f t="shared" si="1"/>
        <v>20884500</v>
      </c>
    </row>
    <row r="28" spans="1:5" ht="15.75" x14ac:dyDescent="0.45">
      <c r="A28" s="113" t="str">
        <f>'Price Proposal'!A24</f>
        <v>Business Unit 6</v>
      </c>
      <c r="B28" s="106">
        <f>'Price Proposal'!D24</f>
        <v>16065000</v>
      </c>
      <c r="C28" s="106">
        <f t="shared" si="1"/>
        <v>19278000</v>
      </c>
      <c r="D28" s="107">
        <f t="shared" si="1"/>
        <v>20081250</v>
      </c>
      <c r="E28" s="106">
        <f t="shared" si="1"/>
        <v>20884500</v>
      </c>
    </row>
    <row r="29" spans="1:5" ht="15.75" x14ac:dyDescent="0.45">
      <c r="A29" s="113" t="str">
        <f>'Price Proposal'!A25</f>
        <v>Business Unit 7</v>
      </c>
      <c r="B29" s="106">
        <f>'Price Proposal'!D25</f>
        <v>16065000</v>
      </c>
      <c r="C29" s="106">
        <f t="shared" si="1"/>
        <v>19278000</v>
      </c>
      <c r="D29" s="107">
        <f t="shared" si="1"/>
        <v>20081250</v>
      </c>
      <c r="E29" s="106">
        <f t="shared" si="1"/>
        <v>20884500</v>
      </c>
    </row>
    <row r="30" spans="1:5" ht="15.75" x14ac:dyDescent="0.45">
      <c r="A30" s="113" t="str">
        <f>'Price Proposal'!A26</f>
        <v>Business Unit 8</v>
      </c>
      <c r="B30" s="106">
        <f>'Price Proposal'!D26</f>
        <v>12915000</v>
      </c>
      <c r="C30" s="106">
        <f t="shared" si="1"/>
        <v>15498000</v>
      </c>
      <c r="D30" s="107">
        <f t="shared" si="1"/>
        <v>16143750</v>
      </c>
      <c r="E30" s="106">
        <f t="shared" si="1"/>
        <v>16789500</v>
      </c>
    </row>
    <row r="31" spans="1:5" ht="15.75" x14ac:dyDescent="0.45">
      <c r="A31" s="113" t="str">
        <f>'Price Proposal'!A27</f>
        <v>Business Unit 9</v>
      </c>
      <c r="B31" s="106">
        <f>'Price Proposal'!D27</f>
        <v>12915000</v>
      </c>
      <c r="C31" s="106">
        <f t="shared" si="1"/>
        <v>15498000</v>
      </c>
      <c r="D31" s="107">
        <f t="shared" si="1"/>
        <v>16143750</v>
      </c>
      <c r="E31" s="106">
        <f t="shared" si="1"/>
        <v>16789500</v>
      </c>
    </row>
    <row r="32" spans="1:5" ht="15.75" x14ac:dyDescent="0.45">
      <c r="A32" s="113" t="str">
        <f>'Price Proposal'!A28</f>
        <v>Business Unit 10</v>
      </c>
      <c r="B32" s="106">
        <f>'Price Proposal'!D28</f>
        <v>12915000</v>
      </c>
      <c r="C32" s="106">
        <f t="shared" si="1"/>
        <v>15498000</v>
      </c>
      <c r="D32" s="107">
        <f t="shared" si="1"/>
        <v>16143750</v>
      </c>
      <c r="E32" s="106">
        <f t="shared" si="1"/>
        <v>16789500</v>
      </c>
    </row>
    <row r="33" spans="1:5" ht="15.75" x14ac:dyDescent="0.45">
      <c r="A33" s="113" t="str">
        <f>'Price Proposal'!A29</f>
        <v>Business Unit 11</v>
      </c>
      <c r="B33" s="106">
        <f>'Price Proposal'!D29</f>
        <v>12915000</v>
      </c>
      <c r="C33" s="106">
        <f t="shared" si="1"/>
        <v>15498000</v>
      </c>
      <c r="D33" s="107">
        <f t="shared" si="1"/>
        <v>16143750</v>
      </c>
      <c r="E33" s="106">
        <f t="shared" si="1"/>
        <v>16789500</v>
      </c>
    </row>
    <row r="34" spans="1:5" ht="15.75" x14ac:dyDescent="0.45">
      <c r="A34" s="113" t="str">
        <f>'Price Proposal'!A30</f>
        <v>Business Unit 12</v>
      </c>
      <c r="B34" s="106">
        <f>'Price Proposal'!D30</f>
        <v>12915000</v>
      </c>
      <c r="C34" s="106">
        <f t="shared" si="1"/>
        <v>15498000</v>
      </c>
      <c r="D34" s="107">
        <f t="shared" si="1"/>
        <v>16143750</v>
      </c>
      <c r="E34" s="106">
        <f t="shared" si="1"/>
        <v>16789500</v>
      </c>
    </row>
    <row r="35" spans="1:5" ht="15.75" x14ac:dyDescent="0.45">
      <c r="A35" s="113" t="str">
        <f>'Price Proposal'!A31</f>
        <v>Business Unit 13</v>
      </c>
      <c r="B35" s="106">
        <f>'Price Proposal'!D31</f>
        <v>12915000</v>
      </c>
      <c r="C35" s="106">
        <f t="shared" si="1"/>
        <v>15498000</v>
      </c>
      <c r="D35" s="107">
        <f t="shared" si="1"/>
        <v>16143750</v>
      </c>
      <c r="E35" s="106">
        <f t="shared" si="1"/>
        <v>16789500</v>
      </c>
    </row>
    <row r="36" spans="1:5" ht="15.75" x14ac:dyDescent="0.45">
      <c r="A36" s="113" t="str">
        <f>'Price Proposal'!A32</f>
        <v>Business Unit 14</v>
      </c>
      <c r="B36" s="106">
        <f>'Price Proposal'!D32</f>
        <v>12915000</v>
      </c>
      <c r="C36" s="106">
        <f t="shared" si="1"/>
        <v>15498000</v>
      </c>
      <c r="D36" s="107">
        <f t="shared" si="1"/>
        <v>16143750</v>
      </c>
      <c r="E36" s="106">
        <f t="shared" si="1"/>
        <v>16789500</v>
      </c>
    </row>
    <row r="37" spans="1:5" ht="15.75" x14ac:dyDescent="0.45">
      <c r="A37" s="113" t="str">
        <f>'Price Proposal'!A33</f>
        <v>Business Unit 15</v>
      </c>
      <c r="B37" s="106">
        <f>'Price Proposal'!D33</f>
        <v>12915000</v>
      </c>
      <c r="C37" s="106">
        <f t="shared" si="1"/>
        <v>15498000</v>
      </c>
      <c r="D37" s="107">
        <f t="shared" si="1"/>
        <v>16143750</v>
      </c>
      <c r="E37" s="106">
        <f t="shared" si="1"/>
        <v>16789500</v>
      </c>
    </row>
    <row r="38" spans="1:5" ht="15.75" x14ac:dyDescent="0.45">
      <c r="A38" s="113" t="str">
        <f>'Price Proposal'!A34</f>
        <v>Business Unit 16</v>
      </c>
      <c r="B38" s="106">
        <f>'Price Proposal'!D34</f>
        <v>12915000</v>
      </c>
      <c r="C38" s="106">
        <f t="shared" si="1"/>
        <v>15498000</v>
      </c>
      <c r="D38" s="107">
        <f t="shared" si="1"/>
        <v>16143750</v>
      </c>
      <c r="E38" s="106">
        <f t="shared" si="1"/>
        <v>16789500</v>
      </c>
    </row>
    <row r="39" spans="1:5" ht="15.75" x14ac:dyDescent="0.45">
      <c r="A39" s="113" t="str">
        <f>'Price Proposal'!A35</f>
        <v>Business Unit 17</v>
      </c>
      <c r="B39" s="106">
        <f>'Price Proposal'!D35</f>
        <v>12915000</v>
      </c>
      <c r="C39" s="106">
        <f t="shared" si="1"/>
        <v>15498000</v>
      </c>
      <c r="D39" s="107">
        <f t="shared" si="1"/>
        <v>16143750</v>
      </c>
      <c r="E39" s="106">
        <f t="shared" si="1"/>
        <v>16789500</v>
      </c>
    </row>
    <row r="40" spans="1:5" ht="15.75" x14ac:dyDescent="0.45">
      <c r="A40" s="113" t="str">
        <f>'Price Proposal'!A36</f>
        <v>Business Unit 18</v>
      </c>
      <c r="B40" s="106">
        <f>'Price Proposal'!D36</f>
        <v>12915000</v>
      </c>
      <c r="C40" s="106">
        <f t="shared" si="1"/>
        <v>15498000</v>
      </c>
      <c r="D40" s="107">
        <f t="shared" si="1"/>
        <v>16143750</v>
      </c>
      <c r="E40" s="106">
        <f t="shared" si="1"/>
        <v>16789500</v>
      </c>
    </row>
    <row r="41" spans="1:5" ht="15.75" x14ac:dyDescent="0.45">
      <c r="A41" s="113" t="str">
        <f>'Price Proposal'!A37</f>
        <v>Business Unit 19</v>
      </c>
      <c r="B41" s="106">
        <f>'Price Proposal'!D37</f>
        <v>12915000</v>
      </c>
      <c r="C41" s="106">
        <f t="shared" si="1"/>
        <v>15498000</v>
      </c>
      <c r="D41" s="107">
        <f t="shared" si="1"/>
        <v>16143750</v>
      </c>
      <c r="E41" s="106">
        <f t="shared" si="1"/>
        <v>16789500</v>
      </c>
    </row>
    <row r="42" spans="1:5" ht="15.75" x14ac:dyDescent="0.45">
      <c r="A42" s="113" t="str">
        <f>'Price Proposal'!A38</f>
        <v>Business Unit 20</v>
      </c>
      <c r="B42" s="106">
        <f>'Price Proposal'!D38</f>
        <v>12915000</v>
      </c>
      <c r="C42" s="106">
        <f t="shared" si="1"/>
        <v>15498000</v>
      </c>
      <c r="D42" s="107">
        <f t="shared" si="1"/>
        <v>16143750</v>
      </c>
      <c r="E42" s="106">
        <f t="shared" si="1"/>
        <v>16789500</v>
      </c>
    </row>
    <row r="43" spans="1:5" ht="15.75" x14ac:dyDescent="0.45">
      <c r="A43" s="113" t="str">
        <f>'Price Proposal'!A39</f>
        <v>Business Unit 21</v>
      </c>
      <c r="B43" s="106">
        <f>'Price Proposal'!D39</f>
        <v>12915000</v>
      </c>
      <c r="C43" s="106">
        <f t="shared" si="1"/>
        <v>15498000</v>
      </c>
      <c r="D43" s="107">
        <f t="shared" si="1"/>
        <v>16143750</v>
      </c>
      <c r="E43" s="106">
        <f t="shared" si="1"/>
        <v>16789500</v>
      </c>
    </row>
    <row r="44" spans="1:5" ht="15.75" x14ac:dyDescent="0.45">
      <c r="A44" s="113" t="str">
        <f>'Price Proposal'!A40</f>
        <v>Business Unit 22</v>
      </c>
      <c r="B44" s="106">
        <f>'Price Proposal'!D40</f>
        <v>12915000</v>
      </c>
      <c r="C44" s="106">
        <f t="shared" si="1"/>
        <v>15498000</v>
      </c>
      <c r="D44" s="107">
        <f t="shared" si="1"/>
        <v>16143750</v>
      </c>
      <c r="E44" s="106">
        <f t="shared" si="1"/>
        <v>16789500</v>
      </c>
    </row>
    <row r="45" spans="1:5" ht="15.75" x14ac:dyDescent="0.45">
      <c r="A45" s="113" t="str">
        <f>'Price Proposal'!A41</f>
        <v>Business Unit 23</v>
      </c>
      <c r="B45" s="106">
        <f>'Price Proposal'!D41</f>
        <v>12915000</v>
      </c>
      <c r="C45" s="106">
        <f t="shared" si="1"/>
        <v>15498000</v>
      </c>
      <c r="D45" s="107">
        <f t="shared" si="1"/>
        <v>16143750</v>
      </c>
      <c r="E45" s="106">
        <f t="shared" si="1"/>
        <v>16789500</v>
      </c>
    </row>
    <row r="46" spans="1:5" ht="15.75" x14ac:dyDescent="0.45">
      <c r="A46" s="113" t="str">
        <f>'Price Proposal'!A42</f>
        <v>Business Unit 24</v>
      </c>
      <c r="B46" s="106">
        <f>'Price Proposal'!D42</f>
        <v>12915000</v>
      </c>
      <c r="C46" s="106">
        <f t="shared" si="1"/>
        <v>15498000</v>
      </c>
      <c r="D46" s="107">
        <f t="shared" si="1"/>
        <v>16143750</v>
      </c>
      <c r="E46" s="106">
        <f t="shared" si="1"/>
        <v>16789500</v>
      </c>
    </row>
    <row r="47" spans="1:5" ht="15.75" x14ac:dyDescent="0.45">
      <c r="A47" s="113" t="str">
        <f>'Price Proposal'!A43</f>
        <v>Business Unit 25</v>
      </c>
      <c r="B47" s="106">
        <f>'Price Proposal'!D43</f>
        <v>12915000</v>
      </c>
      <c r="C47" s="106">
        <f t="shared" si="1"/>
        <v>15498000</v>
      </c>
      <c r="D47" s="107">
        <f t="shared" si="1"/>
        <v>16143750</v>
      </c>
      <c r="E47" s="106">
        <f t="shared" si="1"/>
        <v>16789500</v>
      </c>
    </row>
    <row r="48" spans="1:5" ht="15.75" x14ac:dyDescent="0.45">
      <c r="A48" s="113" t="str">
        <f>'Price Proposal'!A44</f>
        <v>Business Unit 26</v>
      </c>
      <c r="B48" s="106">
        <f>'Price Proposal'!D44</f>
        <v>9765000</v>
      </c>
      <c r="C48" s="106">
        <f t="shared" si="1"/>
        <v>11718000</v>
      </c>
      <c r="D48" s="107">
        <f t="shared" si="1"/>
        <v>12206250</v>
      </c>
      <c r="E48" s="106">
        <f t="shared" si="1"/>
        <v>12694500</v>
      </c>
    </row>
    <row r="49" spans="1:5" ht="15.75" x14ac:dyDescent="0.45">
      <c r="A49" s="113" t="str">
        <f>'Price Proposal'!A45</f>
        <v>Business Unit 27</v>
      </c>
      <c r="B49" s="106">
        <f>'Price Proposal'!D45</f>
        <v>9765000</v>
      </c>
      <c r="C49" s="106">
        <f t="shared" si="1"/>
        <v>11718000</v>
      </c>
      <c r="D49" s="107">
        <f t="shared" si="1"/>
        <v>12206250</v>
      </c>
      <c r="E49" s="106">
        <f t="shared" si="1"/>
        <v>12694500</v>
      </c>
    </row>
    <row r="50" spans="1:5" ht="15.75" x14ac:dyDescent="0.45">
      <c r="A50" s="113" t="str">
        <f>'Price Proposal'!A46</f>
        <v>Business Unit 28</v>
      </c>
      <c r="B50" s="106">
        <f>'Price Proposal'!D46</f>
        <v>9765000</v>
      </c>
      <c r="C50" s="106">
        <f t="shared" si="1"/>
        <v>11718000</v>
      </c>
      <c r="D50" s="107">
        <f t="shared" si="1"/>
        <v>12206250</v>
      </c>
      <c r="E50" s="106">
        <f t="shared" si="1"/>
        <v>12694500</v>
      </c>
    </row>
    <row r="51" spans="1:5" ht="15.75" x14ac:dyDescent="0.45">
      <c r="A51" s="113" t="str">
        <f>'Price Proposal'!A47</f>
        <v>Business Unit 29</v>
      </c>
      <c r="B51" s="106">
        <f>'Price Proposal'!D47</f>
        <v>9765000</v>
      </c>
      <c r="C51" s="106">
        <f t="shared" si="1"/>
        <v>11718000</v>
      </c>
      <c r="D51" s="107">
        <f t="shared" si="1"/>
        <v>12206250</v>
      </c>
      <c r="E51" s="106">
        <f t="shared" si="1"/>
        <v>12694500</v>
      </c>
    </row>
    <row r="52" spans="1:5" ht="15.75" x14ac:dyDescent="0.45">
      <c r="A52" s="113" t="str">
        <f>'Price Proposal'!A48</f>
        <v>Business Unit 30</v>
      </c>
      <c r="B52" s="106">
        <f>'Price Proposal'!D48</f>
        <v>9765000</v>
      </c>
      <c r="C52" s="106">
        <f t="shared" si="1"/>
        <v>11718000</v>
      </c>
      <c r="D52" s="107">
        <f t="shared" si="1"/>
        <v>12206250</v>
      </c>
      <c r="E52" s="106">
        <f t="shared" si="1"/>
        <v>12694500</v>
      </c>
    </row>
    <row r="53" spans="1:5" ht="15.75" x14ac:dyDescent="0.45">
      <c r="A53" s="114" t="s">
        <v>189</v>
      </c>
      <c r="B53" s="115">
        <f>SUM(B23:B52)</f>
        <v>393750000</v>
      </c>
      <c r="C53" s="115">
        <f>SUM(C23:C52)</f>
        <v>472500000</v>
      </c>
      <c r="D53" s="116">
        <f>SUM(D23:D52)</f>
        <v>492187500</v>
      </c>
      <c r="E53" s="115">
        <f>SUM(E23:E52)</f>
        <v>511875000</v>
      </c>
    </row>
    <row r="54" spans="1:5" ht="16.149999999999999" thickBot="1" x14ac:dyDescent="0.5">
      <c r="A54" s="117"/>
      <c r="B54" s="118"/>
      <c r="C54" s="118"/>
      <c r="D54" s="119"/>
      <c r="E54" s="118"/>
    </row>
    <row r="55" spans="1:5" ht="15.75" x14ac:dyDescent="0.45">
      <c r="A55" s="120" t="s">
        <v>190</v>
      </c>
      <c r="B55" s="121">
        <f>B19+B53</f>
        <v>584705000</v>
      </c>
      <c r="C55" s="121">
        <f>C19+C53</f>
        <v>701646000</v>
      </c>
      <c r="D55" s="122">
        <f>D19+D53</f>
        <v>730881250</v>
      </c>
      <c r="E55" s="123">
        <f>E19+E53</f>
        <v>760116500</v>
      </c>
    </row>
    <row r="56" spans="1:5" ht="16.149999999999999" thickBot="1" x14ac:dyDescent="0.5">
      <c r="A56" s="109" t="s">
        <v>191</v>
      </c>
      <c r="B56" s="124">
        <f>B55/10000000</f>
        <v>58.470500000000001</v>
      </c>
      <c r="C56" s="124">
        <f>C55/10000000</f>
        <v>70.164599999999993</v>
      </c>
      <c r="D56" s="125">
        <f>D55/10000000</f>
        <v>73.088125000000005</v>
      </c>
      <c r="E56" s="126">
        <f>E55/10000000</f>
        <v>76.011650000000003</v>
      </c>
    </row>
    <row r="57" spans="1:5" x14ac:dyDescent="0.45">
      <c r="A57" s="81"/>
      <c r="B57" s="88"/>
      <c r="C57" s="88"/>
      <c r="D57" s="89"/>
      <c r="E57" s="88"/>
    </row>
    <row r="58" spans="1:5" ht="27" customHeight="1" x14ac:dyDescent="0.45">
      <c r="A58" s="99" t="s">
        <v>192</v>
      </c>
      <c r="B58" s="90"/>
      <c r="C58" s="90"/>
      <c r="D58" s="90"/>
      <c r="E58" s="90"/>
    </row>
    <row r="59" spans="1:5" ht="15.75" x14ac:dyDescent="0.45">
      <c r="A59" s="113" t="s">
        <v>8</v>
      </c>
      <c r="B59" s="106">
        <f>'Price Proposal'!E15</f>
        <v>105305000</v>
      </c>
      <c r="C59" s="106">
        <f t="shared" ref="C59:E63" si="2">$B59*(1+C$6)</f>
        <v>126366000</v>
      </c>
      <c r="D59" s="107">
        <f t="shared" si="2"/>
        <v>131631250</v>
      </c>
      <c r="E59" s="106">
        <f t="shared" si="2"/>
        <v>136896500</v>
      </c>
    </row>
    <row r="60" spans="1:5" ht="15.75" x14ac:dyDescent="0.45">
      <c r="A60" s="113" t="s">
        <v>9</v>
      </c>
      <c r="B60" s="106">
        <f>'Price Proposal'!F15</f>
        <v>58200000</v>
      </c>
      <c r="C60" s="106">
        <f t="shared" si="2"/>
        <v>69840000</v>
      </c>
      <c r="D60" s="107">
        <f t="shared" si="2"/>
        <v>72750000</v>
      </c>
      <c r="E60" s="106">
        <f t="shared" si="2"/>
        <v>75660000</v>
      </c>
    </row>
    <row r="61" spans="1:5" ht="15.75" x14ac:dyDescent="0.45">
      <c r="A61" s="113" t="s">
        <v>10</v>
      </c>
      <c r="B61" s="106">
        <f>'Price Proposal'!G15</f>
        <v>27450000</v>
      </c>
      <c r="C61" s="106">
        <f t="shared" si="2"/>
        <v>32940000</v>
      </c>
      <c r="D61" s="107">
        <f t="shared" si="2"/>
        <v>34312500</v>
      </c>
      <c r="E61" s="106">
        <f t="shared" si="2"/>
        <v>35685000</v>
      </c>
    </row>
    <row r="62" spans="1:5" ht="15.75" x14ac:dyDescent="0.45">
      <c r="A62" s="113" t="s">
        <v>11</v>
      </c>
      <c r="B62" s="106">
        <f>'Price Proposal'!H15</f>
        <v>0</v>
      </c>
      <c r="C62" s="106">
        <f t="shared" si="2"/>
        <v>0</v>
      </c>
      <c r="D62" s="107">
        <f t="shared" si="2"/>
        <v>0</v>
      </c>
      <c r="E62" s="106">
        <f t="shared" si="2"/>
        <v>0</v>
      </c>
    </row>
    <row r="63" spans="1:5" ht="15.75" x14ac:dyDescent="0.45">
      <c r="A63" s="113" t="s">
        <v>12</v>
      </c>
      <c r="B63" s="106">
        <f>'Price Proposal'!I15</f>
        <v>0</v>
      </c>
      <c r="C63" s="106">
        <f t="shared" si="2"/>
        <v>0</v>
      </c>
      <c r="D63" s="107">
        <f t="shared" si="2"/>
        <v>0</v>
      </c>
      <c r="E63" s="106">
        <f t="shared" si="2"/>
        <v>0</v>
      </c>
    </row>
    <row r="64" spans="1:5" x14ac:dyDescent="0.45">
      <c r="A64" s="81"/>
      <c r="B64" s="88"/>
      <c r="C64" s="88"/>
      <c r="D64" s="89"/>
      <c r="E64" s="88"/>
    </row>
    <row r="65" spans="1:5" ht="27" customHeight="1" x14ac:dyDescent="0.45">
      <c r="A65" s="99" t="s">
        <v>193</v>
      </c>
      <c r="B65" s="90"/>
      <c r="C65" s="90"/>
      <c r="D65" s="90"/>
      <c r="E65" s="90"/>
    </row>
    <row r="66" spans="1:5" ht="15.75" x14ac:dyDescent="0.45">
      <c r="A66" s="113" t="s">
        <v>8</v>
      </c>
      <c r="B66" s="106">
        <f>'Price Proposal'!E16</f>
        <v>22050000</v>
      </c>
      <c r="C66" s="106">
        <f t="shared" ref="C66:E70" si="3">$B66*(1+C$6)</f>
        <v>26460000</v>
      </c>
      <c r="D66" s="107">
        <f t="shared" si="3"/>
        <v>27562500</v>
      </c>
      <c r="E66" s="106">
        <f t="shared" si="3"/>
        <v>28665000</v>
      </c>
    </row>
    <row r="67" spans="1:5" ht="15.75" x14ac:dyDescent="0.45">
      <c r="A67" s="113" t="s">
        <v>9</v>
      </c>
      <c r="B67" s="106">
        <f>'Price Proposal'!F16</f>
        <v>78750000</v>
      </c>
      <c r="C67" s="106">
        <f t="shared" si="3"/>
        <v>94500000</v>
      </c>
      <c r="D67" s="107">
        <f t="shared" si="3"/>
        <v>98437500</v>
      </c>
      <c r="E67" s="106">
        <f t="shared" si="3"/>
        <v>102375000</v>
      </c>
    </row>
    <row r="68" spans="1:5" ht="15.75" x14ac:dyDescent="0.45">
      <c r="A68" s="113" t="s">
        <v>10</v>
      </c>
      <c r="B68" s="106">
        <f>'Price Proposal'!G16</f>
        <v>94500000</v>
      </c>
      <c r="C68" s="106">
        <f t="shared" si="3"/>
        <v>113400000</v>
      </c>
      <c r="D68" s="107">
        <f t="shared" si="3"/>
        <v>118125000</v>
      </c>
      <c r="E68" s="106">
        <f t="shared" si="3"/>
        <v>122850000</v>
      </c>
    </row>
    <row r="69" spans="1:5" ht="15.75" x14ac:dyDescent="0.45">
      <c r="A69" s="113" t="s">
        <v>11</v>
      </c>
      <c r="B69" s="106">
        <f>'Price Proposal'!H16</f>
        <v>99225000</v>
      </c>
      <c r="C69" s="106">
        <f t="shared" si="3"/>
        <v>119070000</v>
      </c>
      <c r="D69" s="107">
        <f t="shared" si="3"/>
        <v>124031250</v>
      </c>
      <c r="E69" s="106">
        <f t="shared" si="3"/>
        <v>128992500</v>
      </c>
    </row>
    <row r="70" spans="1:5" ht="15.75" x14ac:dyDescent="0.45">
      <c r="A70" s="113" t="s">
        <v>12</v>
      </c>
      <c r="B70" s="106">
        <f>'Price Proposal'!I16</f>
        <v>99225000</v>
      </c>
      <c r="C70" s="106">
        <f t="shared" si="3"/>
        <v>119070000</v>
      </c>
      <c r="D70" s="107">
        <f t="shared" si="3"/>
        <v>124031250</v>
      </c>
      <c r="E70" s="106">
        <f t="shared" si="3"/>
        <v>128992500</v>
      </c>
    </row>
    <row r="71" spans="1:5" x14ac:dyDescent="0.45">
      <c r="A71" s="81"/>
      <c r="B71" s="88"/>
      <c r="C71" s="88"/>
      <c r="D71" s="89"/>
      <c r="E71" s="88"/>
    </row>
    <row r="72" spans="1:5" ht="27" customHeight="1" x14ac:dyDescent="0.45">
      <c r="A72" s="99" t="s">
        <v>194</v>
      </c>
      <c r="B72" s="90"/>
      <c r="C72" s="90"/>
      <c r="D72" s="90"/>
      <c r="E72" s="90"/>
    </row>
    <row r="73" spans="1:5" ht="15.75" x14ac:dyDescent="0.45">
      <c r="A73" s="113" t="s">
        <v>8</v>
      </c>
      <c r="B73" s="106">
        <f>'Price Proposal'!E49</f>
        <v>127355000</v>
      </c>
      <c r="C73" s="106">
        <f t="shared" ref="C73:E77" si="4">$B73*(1+C$6)</f>
        <v>152826000</v>
      </c>
      <c r="D73" s="107">
        <f t="shared" si="4"/>
        <v>159193750</v>
      </c>
      <c r="E73" s="106">
        <f t="shared" si="4"/>
        <v>165561500</v>
      </c>
    </row>
    <row r="74" spans="1:5" ht="15.75" x14ac:dyDescent="0.45">
      <c r="A74" s="113" t="s">
        <v>9</v>
      </c>
      <c r="B74" s="106">
        <f>'Price Proposal'!F49</f>
        <v>136950000</v>
      </c>
      <c r="C74" s="106">
        <f t="shared" si="4"/>
        <v>164340000</v>
      </c>
      <c r="D74" s="107">
        <f t="shared" si="4"/>
        <v>171187500</v>
      </c>
      <c r="E74" s="106">
        <f t="shared" si="4"/>
        <v>178035000</v>
      </c>
    </row>
    <row r="75" spans="1:5" ht="15.75" x14ac:dyDescent="0.45">
      <c r="A75" s="113" t="s">
        <v>10</v>
      </c>
      <c r="B75" s="106">
        <f>'Price Proposal'!G49</f>
        <v>121950000</v>
      </c>
      <c r="C75" s="106">
        <f t="shared" si="4"/>
        <v>146340000</v>
      </c>
      <c r="D75" s="107">
        <f t="shared" si="4"/>
        <v>152437500</v>
      </c>
      <c r="E75" s="106">
        <f t="shared" si="4"/>
        <v>158535000</v>
      </c>
    </row>
    <row r="76" spans="1:5" ht="15.75" x14ac:dyDescent="0.45">
      <c r="A76" s="113" t="s">
        <v>11</v>
      </c>
      <c r="B76" s="106">
        <f>'Price Proposal'!H49</f>
        <v>99225000</v>
      </c>
      <c r="C76" s="106">
        <f t="shared" si="4"/>
        <v>119070000</v>
      </c>
      <c r="D76" s="107">
        <f t="shared" si="4"/>
        <v>124031250</v>
      </c>
      <c r="E76" s="106">
        <f t="shared" si="4"/>
        <v>128992500</v>
      </c>
    </row>
    <row r="77" spans="1:5" ht="15.75" x14ac:dyDescent="0.45">
      <c r="A77" s="113" t="s">
        <v>12</v>
      </c>
      <c r="B77" s="106">
        <f>'Price Proposal'!I49</f>
        <v>99225000</v>
      </c>
      <c r="C77" s="106">
        <f t="shared" si="4"/>
        <v>119070000</v>
      </c>
      <c r="D77" s="107">
        <f t="shared" si="4"/>
        <v>124031250</v>
      </c>
      <c r="E77" s="106">
        <f t="shared" si="4"/>
        <v>128992500</v>
      </c>
    </row>
    <row r="78" spans="1:5" ht="16.149999999999999" thickBot="1" x14ac:dyDescent="0.5">
      <c r="A78" s="117"/>
      <c r="B78" s="118"/>
      <c r="C78" s="118"/>
      <c r="D78" s="119"/>
      <c r="E78" s="118"/>
    </row>
    <row r="79" spans="1:5" ht="15.75" x14ac:dyDescent="0.45">
      <c r="A79" s="127" t="s">
        <v>195</v>
      </c>
      <c r="B79" s="128">
        <f>'Price Proposal'!L5</f>
        <v>3150000</v>
      </c>
      <c r="C79" s="128">
        <f t="shared" ref="C79:E80" si="5">$B79*(1+C$6)</f>
        <v>3780000</v>
      </c>
      <c r="D79" s="129">
        <f t="shared" si="5"/>
        <v>3937500</v>
      </c>
      <c r="E79" s="130">
        <f t="shared" si="5"/>
        <v>4095000</v>
      </c>
    </row>
    <row r="80" spans="1:5" ht="16.149999999999999" thickBot="1" x14ac:dyDescent="0.5">
      <c r="A80" s="131" t="s">
        <v>196</v>
      </c>
      <c r="B80" s="132">
        <f>B79*(1+'Price Proposal'!L6)</f>
        <v>3307500</v>
      </c>
      <c r="C80" s="132">
        <f t="shared" si="5"/>
        <v>3969000</v>
      </c>
      <c r="D80" s="133">
        <f t="shared" si="5"/>
        <v>4134375</v>
      </c>
      <c r="E80" s="134">
        <f t="shared" si="5"/>
        <v>4299750</v>
      </c>
    </row>
    <row r="81" spans="1:5" ht="14.65" thickBot="1" x14ac:dyDescent="0.5">
      <c r="A81" s="81"/>
      <c r="B81" s="88"/>
      <c r="C81" s="88"/>
      <c r="D81" s="88"/>
      <c r="E81" s="88"/>
    </row>
    <row r="82" spans="1:5" x14ac:dyDescent="0.45">
      <c r="A82" s="135" t="s">
        <v>201</v>
      </c>
      <c r="B82" s="136"/>
      <c r="C82" s="136"/>
      <c r="D82" s="136"/>
      <c r="E82" s="137"/>
    </row>
    <row r="83" spans="1:5" x14ac:dyDescent="0.45">
      <c r="A83" s="138"/>
      <c r="B83" s="139"/>
      <c r="C83" s="139"/>
      <c r="D83" s="139"/>
      <c r="E83" s="140"/>
    </row>
    <row r="84" spans="1:5" ht="14.65" thickBot="1" x14ac:dyDescent="0.5">
      <c r="A84" s="141"/>
      <c r="B84" s="142"/>
      <c r="C84" s="142"/>
      <c r="D84" s="142"/>
      <c r="E84" s="143"/>
    </row>
    <row r="85" spans="1:5" ht="14.65" thickBot="1" x14ac:dyDescent="0.5">
      <c r="A85" s="81"/>
      <c r="B85" s="88"/>
      <c r="C85" s="88"/>
      <c r="D85" s="88"/>
      <c r="E85" s="88"/>
    </row>
    <row r="86" spans="1:5" x14ac:dyDescent="0.45">
      <c r="A86" s="135" t="s">
        <v>197</v>
      </c>
      <c r="B86" s="136"/>
      <c r="C86" s="136"/>
      <c r="D86" s="136"/>
      <c r="E86" s="137"/>
    </row>
    <row r="87" spans="1:5" x14ac:dyDescent="0.45">
      <c r="A87" s="138"/>
      <c r="B87" s="139"/>
      <c r="C87" s="139"/>
      <c r="D87" s="139"/>
      <c r="E87" s="140"/>
    </row>
    <row r="88" spans="1:5" ht="14.65" thickBot="1" x14ac:dyDescent="0.5">
      <c r="A88" s="141"/>
      <c r="B88" s="142"/>
      <c r="C88" s="142"/>
      <c r="D88" s="142"/>
      <c r="E88" s="143"/>
    </row>
    <row r="89" spans="1:5" ht="15.75" x14ac:dyDescent="0.45">
      <c r="A89" s="117"/>
      <c r="B89" s="118"/>
      <c r="C89" s="118"/>
      <c r="D89" s="118"/>
      <c r="E89" s="118"/>
    </row>
    <row r="90" spans="1:5" ht="15.75" x14ac:dyDescent="0.45">
      <c r="A90" s="117"/>
      <c r="B90" s="118"/>
      <c r="C90" s="118"/>
      <c r="D90" s="118"/>
      <c r="E90" s="118"/>
    </row>
    <row r="91" spans="1:5" ht="15.75" x14ac:dyDescent="0.45">
      <c r="A91" s="113" t="s">
        <v>198</v>
      </c>
      <c r="B91" s="106">
        <f>B19-SUM(B59:B63)</f>
        <v>0</v>
      </c>
      <c r="C91" s="106">
        <f>C19-SUM(C59:C63)</f>
        <v>0</v>
      </c>
      <c r="D91" s="106">
        <f>D19-SUM(D59:D63)</f>
        <v>0</v>
      </c>
      <c r="E91" s="106">
        <f>E19-SUM(E59:E63)</f>
        <v>0</v>
      </c>
    </row>
    <row r="92" spans="1:5" ht="15.75" x14ac:dyDescent="0.45">
      <c r="A92" s="113" t="s">
        <v>199</v>
      </c>
      <c r="B92" s="106">
        <f>B53-SUM(B66:B70)</f>
        <v>0</v>
      </c>
      <c r="C92" s="106">
        <f>C53-SUM(C66:C70)</f>
        <v>0</v>
      </c>
      <c r="D92" s="106">
        <f>D53-SUM(D66:D70)</f>
        <v>0</v>
      </c>
      <c r="E92" s="106">
        <f>E53-SUM(E66:E70)</f>
        <v>0</v>
      </c>
    </row>
    <row r="93" spans="1:5" ht="15.75" x14ac:dyDescent="0.45">
      <c r="A93" s="113" t="s">
        <v>200</v>
      </c>
      <c r="B93" s="106">
        <f>B55-SUM(B73:B77)</f>
        <v>0</v>
      </c>
      <c r="C93" s="106">
        <f>C55-SUM(C73:C77)</f>
        <v>0</v>
      </c>
      <c r="D93" s="106">
        <f>D55-SUM(D73:D77)</f>
        <v>0</v>
      </c>
      <c r="E93" s="106">
        <f>E55-SUM(E73:E77)</f>
        <v>0</v>
      </c>
    </row>
    <x:row xmlns:x="http://schemas.openxmlformats.org/spreadsheetml/2006/main" r="96" ht="25" customHeight="1">
      <x:c r="A96" s="292" t="str">
        <x:v>Illustrative hypercare value included in the proposal</x:v>
      </x:c>
      <x:c r="B96" s="291"/>
      <x:c r="C96" s="291"/>
      <x:c r="D96" s="291"/>
      <x:c r="E96" s="291"/>
    </x:row>
    <x:row xmlns:x="http://schemas.openxmlformats.org/spreadsheetml/2006/main" r="97" ht="36" customHeight="1">
      <x:c r="A97" s="290" t="str">
        <x:v>Memo only. One illustrative 60-day team allocation, not per BU or rollout wave. INR excluding GST. This is not a discount, actual delivery cost or additional charge.</x:v>
      </x:c>
      <x:c r="B97" s="290"/>
      <x:c r="C97" s="290"/>
      <x:c r="D97" s="290"/>
      <x:c r="E97" s="290"/>
    </x:row>
    <x:row xmlns:x="http://schemas.openxmlformats.org/spreadsheetml/2006/main" r="98">
      <x:c r="A98" s="289"/>
      <x:c r="B98" s="289"/>
      <x:c r="C98" s="289"/>
      <x:c r="D98" s="289"/>
      <x:c r="E98" s="289"/>
    </x:row>
    <x:row xmlns:x="http://schemas.openxmlformats.org/spreadsheetml/2006/main" r="99" ht="36" customHeight="1">
      <x:c r="A99" s="299" t="str">
        <x:v>Illustrative role</x:v>
      </x:c>
      <x:c r="B99" s="299" t="str">
        <x:v>Allocated FTE</x:v>
      </x:c>
      <x:c r="C99" s="299" t="str">
        <x:v>Months</x:v>
      </x:c>
      <x:c r="D99" s="299" t="str">
        <x:v>Quoted proxy / month (INR)</x:v>
      </x:c>
      <x:c r="E99" s="299" t="str">
        <x:v>Included value proxy (INR)</x:v>
      </x:c>
    </x:row>
    <x:row xmlns:x="http://schemas.openxmlformats.org/spreadsheetml/2006/main" r="100" ht="24" customHeight="1">
      <x:c r="A100" s="289" t="str">
        <x:v>Support engineers (Ariba / REST integration rate proxy)</x:v>
      </x:c>
      <x:c r="B100" s="294" t="n">
        <x:v>2</x:v>
      </x:c>
      <x:c r="C100" s="294" t="n">
        <x:v>2</x:v>
      </x:c>
      <x:c r="D100" s="296" t="n">
        <x:f>'Price Proposal'!C10</x:f>
        <x:v>275000</x:v>
      </x:c>
      <x:c r="E100" s="296" t="n">
        <x:f>B100*C100*D100</x:f>
        <x:v>1100000</x:v>
      </x:c>
    </x:row>
    <x:row xmlns:x="http://schemas.openxmlformats.org/spreadsheetml/2006/main" r="101" ht="24" customHeight="1">
      <x:c r="A101" s="289" t="str">
        <x:v>Project coordinator</x:v>
      </x:c>
      <x:c r="B101" s="294" t="n">
        <x:v>1</x:v>
      </x:c>
      <x:c r="C101" s="294" t="n">
        <x:v>2</x:v>
      </x:c>
      <x:c r="D101" s="296" t="n">
        <x:f>'Price Proposal'!C8</x:f>
        <x:v>175000</x:v>
      </x:c>
      <x:c r="E101" s="296" t="n">
        <x:f>B101*C101*D101</x:f>
        <x:v>350000</x:v>
      </x:c>
    </x:row>
    <x:row xmlns:x="http://schemas.openxmlformats.org/spreadsheetml/2006/main" r="102" ht="24" customHeight="1">
      <x:c r="A102" s="289" t="str">
        <x:v>Project manager (shared)</x:v>
      </x:c>
      <x:c r="B102" s="295" t="n">
        <x:v>0.25</x:v>
      </x:c>
      <x:c r="C102" s="294" t="n">
        <x:v>2</x:v>
      </x:c>
      <x:c r="D102" s="296" t="n">
        <x:f>'Price Proposal'!C7</x:f>
        <x:v>350000</x:v>
      </x:c>
      <x:c r="E102" s="296" t="n">
        <x:f>B102*C102*D102</x:f>
        <x:v>175000</x:v>
      </x:c>
    </x:row>
    <x:row xmlns:x="http://schemas.openxmlformats.org/spreadsheetml/2006/main" r="103" ht="24" customHeight="1">
      <x:c r="A103" s="289"/>
      <x:c r="B103" s="289"/>
      <x:c r="C103" s="289"/>
      <x:c r="D103" s="296"/>
      <x:c r="E103" s="296"/>
    </x:row>
    <x:row xmlns:x="http://schemas.openxmlformats.org/spreadsheetml/2006/main" r="104" ht="24" customHeight="1">
      <x:c r="A104" s="289" t="str">
        <x:v>Base team value proxy (INR)</x:v>
      </x:c>
      <x:c r="B104" s="289"/>
      <x:c r="C104" s="289"/>
      <x:c r="D104" s="296"/>
      <x:c r="E104" s="296" t="n">
        <x:f>SUM(E100:E102)</x:f>
        <x:v>1625000</x:v>
      </x:c>
    </x:row>
    <x:row xmlns:x="http://schemas.openxmlformats.org/spreadsheetml/2006/main" r="105" ht="24" customHeight="1">
      <x:c r="A105" s="289" t="str">
        <x:v>Illustrative planning reserve on quoted value</x:v>
      </x:c>
      <x:c r="B105" s="293" t="n">
        <x:v>0.2</x:v>
      </x:c>
      <x:c r="C105" s="289"/>
      <x:c r="D105" s="296"/>
      <x:c r="E105" s="296" t="n">
        <x:f>E104*B105</x:f>
        <x:v>325000</x:v>
      </x:c>
    </x:row>
    <x:row xmlns:x="http://schemas.openxmlformats.org/spreadsheetml/2006/main" r="106">
      <x:c r="A106" s="289"/>
      <x:c r="B106" s="289"/>
      <x:c r="C106" s="289"/>
      <x:c r="D106" s="296"/>
      <x:c r="E106" s="296"/>
    </x:row>
    <x:row xmlns:x="http://schemas.openxmlformats.org/spreadsheetml/2006/main" r="107" ht="28" customHeight="1">
      <x:c r="A107" s="302" t="str">
        <x:v>Total illustrative included value, with reserve (INR)</x:v>
      </x:c>
      <x:c r="B107" s="302"/>
      <x:c r="C107" s="302"/>
      <x:c r="D107" s="303"/>
      <x:c r="E107" s="303" t="n">
        <x:f>SUM(E104:E105)</x:f>
        <x:v>1950000</x:v>
      </x:c>
    </x:row>
    <x:row xmlns:x="http://schemas.openxmlformats.org/spreadsheetml/2006/main" r="108">
      <x:c r="A108" s="289"/>
      <x:c r="B108" s="289"/>
      <x:c r="C108" s="289"/>
      <x:c r="D108" s="289"/>
      <x:c r="E108" s="289"/>
    </x:row>
    <x:row xmlns:x="http://schemas.openxmlformats.org/spreadsheetml/2006/main" r="109" ht="36" customHeight="1">
      <x:c r="A109" s="290" t="str">
        <x:v>Rate basis: Price Proposal C10 (engineer proxy), C8 (coordinator) and C7 (PM). These are quoted commercial rates, not verified hypercare labor costs. Validate role fit, staffing, coverage hours and resource availability.</x:v>
      </x:c>
      <x:c r="B109" s="290"/>
      <x:c r="C109" s="290"/>
      <x:c r="D109" s="290"/>
      <x:c r="E109" s="290"/>
    </x:row>
    <x:row xmlns:x="http://schemas.openxmlformats.org/spreadsheetml/2006/main" r="110" ht="40" customHeight="1">
      <x:c r="A110" s="290" t="str">
        <x:v>The 20% reserve is an illustrative planning assumption applied to the quoted-value proxy. It is not demonstrated cost contingency or margin. Do not add this memo value to proposal totals, apply another uplift, or count already-budgeted PM / coordinator time twice.</x:v>
      </x:c>
      <x:c r="B110" s="290"/>
      <x:c r="C110" s="290"/>
      <x:c r="D110" s="290"/>
      <x:c r="E110" s="290"/>
    </x:row>
    <x:row xmlns:x="http://schemas.openxmlformats.org/spreadsheetml/2006/main" r="111" ht="40" customHeight="1">
      <x:c r="A111" s="290" t="str">
        <x:v>Duration check: the current proposal includes 60 days from Ahmedabad. Any 90-day expectation needs explicit scope and staffing confirmation. This illustration does not price or commit the additional 30 days, multiple waves, on-site work or 24x7 coverage.</x:v>
      </x:c>
      <x:c r="B111" s="290"/>
      <x:c r="C111" s="290"/>
      <x:c r="D111" s="290"/>
      <x:c r="E111" s="290"/>
    </x:row>
    <x:row xmlns:x="http://schemas.openxmlformats.org/spreadsheetml/2006/main" r="112" ht="34" customHeight="1">
      <x:c r="A112" s="290" t="str">
        <x:v>Commercial treatment: the value is included within the proposal, subject to validation. No incremental hypercare charge or separate discount is created by this matrix. Existing pricing scenarios and reconciliation checks remain unchanged.</x:v>
      </x:c>
      <x:c r="B112" s="290"/>
      <x:c r="C112" s="290"/>
      <x:c r="D112" s="290"/>
      <x:c r="E112" s="290"/>
    </x:row>
    <x:row xmlns:x="http://schemas.openxmlformats.org/spreadsheetml/2006/main" r="113">
      <x:c r="A113" s="289"/>
      <x:c r="B113" s="289"/>
      <x:c r="C113" s="289"/>
      <x:c r="D113" s="289"/>
      <x:c r="E113" s="289"/>
    </x:row>
    <x:row xmlns:x="http://schemas.openxmlformats.org/spreadsheetml/2006/main" r="114" ht="25" customHeight="1">
      <x:c r="A114" s="292" t="str">
        <x:v>Directional public benchmarks, not comparable supplier quotations</x:v>
      </x:c>
      <x:c r="B114" s="291"/>
      <x:c r="C114" s="291"/>
      <x:c r="D114" s="291"/>
      <x:c r="E114" s="291"/>
    </x:row>
    <x:row xmlns:x="http://schemas.openxmlformats.org/spreadsheetml/2006/main" r="115" ht="40" customHeight="1">
      <x:c r="A115" s="299" t="str">
        <x:v>Supplier / documented service</x:v>
      </x:c>
      <x:c r="B115" s="299" t="str">
        <x:v>Geography / scope</x:v>
      </x:c>
      <x:c r="C115" s="299" t="str">
        <x:v>Published basis</x:v>
      </x:c>
      <x:c r="D115" s="299" t="str">
        <x:v>Published rate</x:v>
      </x:c>
      <x:c r="E115" s="299" t="str">
        <x:v>How to interpret</x:v>
      </x:c>
    </x:row>
    <x:row xmlns:x="http://schemas.openxmlformats.org/spreadsheetml/2006/main" r="116" ht="40" customHeight="1">
      <x:c r="A116" s="290" t="str">
        <x:v>Safal hypercare illustration</x:v>
      </x:c>
      <x:c r="B116" s="290" t="str">
        <x:v>Ahmedabad, India</x:v>
      </x:c>
      <x:c r="C116" s="290" t="str">
        <x:v>60-day allocation</x:v>
      </x:c>
      <x:c r="D116" s="290" t="str">
        <x:v>Included</x:v>
      </x:c>
      <x:c r="E116" s="290" t="str">
        <x:v>Memo value above</x:v>
      </x:c>
    </x:row>
    <x:row xmlns:x="http://schemas.openxmlformats.org/spreadsheetml/2006/main" r="117" ht="40" customHeight="1">
      <x:c r="A117" s="290" t="str">
        <x:v>JAGGAER professional services</x:v>
      </x:c>
      <x:c r="B117" s="290" t="str">
        <x:v>UK delivery</x:v>
      </x:c>
      <x:c r="C117" s="290" t="str">
        <x:v>8-hour day</x:v>
      </x:c>
      <x:c r="D117" s="290" t="str">
        <x:v>GBP 1,125–1,800/day</x:v>
      </x:c>
      <x:c r="E117" s="290" t="str">
        <x:v>Directional only [1]</x:v>
      </x:c>
    </x:row>
    <x:row xmlns:x="http://schemas.openxmlformats.org/spreadsheetml/2006/main" r="118" ht="40" customHeight="1">
      <x:c r="A118" s="290" t="str">
        <x:v>Infosys: development / implementation and delivery / operation</x:v>
      </x:c>
      <x:c r="B118" s="290" t="str">
        <x:v>Outside UK</x:v>
      </x:c>
      <x:c r="C118" s="290" t="str">
        <x:v>8.8-hour day</x:v>
      </x:c>
      <x:c r="D118" s="290" t="str">
        <x:v>GBP 141–339/day</x:v>
      </x:c>
      <x:c r="E118" s="290" t="str">
        <x:v>Directional only [2]</x:v>
      </x:c>
    </x:row>
    <x:row xmlns:x="http://schemas.openxmlformats.org/spreadsheetml/2006/main" r="119" ht="40" customHeight="1">
      <x:c r="A119" s="290" t="str">
        <x:v>SAP Ariba support / initial assistance</x:v>
      </x:c>
      <x:c r="B119" s="290" t="str">
        <x:v>Product / edition dependent</x:v>
      </x:c>
      <x:c r="C119" s="290" t="str">
        <x:v>Subscription scope</x:v>
      </x:c>
      <x:c r="D119" s="290" t="str">
        <x:v>Some support included</x:v>
      </x:c>
      <x:c r="E119" s="290" t="str">
        <x:v>Not full hypercare [3]</x:v>
      </x:c>
    </x:row>
    <x:row xmlns:x="http://schemas.openxmlformats.org/spreadsheetml/2006/main" r="120">
      <x:c r="A120" s="289"/>
      <x:c r="B120" s="289"/>
      <x:c r="C120" s="289"/>
      <x:c r="D120" s="289"/>
      <x:c r="E120" s="289"/>
    </x:row>
    <x:row xmlns:x="http://schemas.openxmlformats.org/spreadsheetml/2006/main" r="121" ht="38" customHeight="1">
      <x:c r="A121" s="290" t="str">
        <x:v>The public rates cover different roles, locations, day lengths and services. They are not quotes for Adani, India or this hypercare team. “Outside UK” does not establish an India-specific rate. No currency conversion or competitor total is implied.</x:v>
      </x:c>
      <x:c r="B121" s="290"/>
      <x:c r="C121" s="290"/>
      <x:c r="D121" s="290"/>
      <x:c r="E121" s="290"/>
    </x:row>
    <x:row xmlns:x="http://schemas.openxmlformats.org/spreadsheetml/2006/main" r="122" ht="38" customHeight="1">
      <x:c r="A122" s="290" t="str">
        <x:v>[1] JAGGAER G-Cloud 15 pricing, 2026: https://assets.applytosupply.digitalmarketplace.service.gov.uk/g-cloud-15/documents/92417/824695783438584-pricing-document-2026-01-29-1440.pdf</x:v>
      </x:c>
      <x:c r="B122" s="290"/>
      <x:c r="C122" s="290"/>
      <x:c r="D122" s="290"/>
      <x:c r="E122" s="290"/>
    </x:row>
    <x:row xmlns:x="http://schemas.openxmlformats.org/spreadsheetml/2006/main" r="123" ht="38" customHeight="1">
      <x:c r="A123" s="290" t="str">
        <x:v>[2] Infosys G-Cloud 14 SFIA rate card, 2024: https://assets.applytosupply.digitalmarketplace.service.gov.uk/g-cloud-14/documents/93227/879049913464467-sfia-rate-card-2024-05-03-1559.pdf</x:v>
      </x:c>
      <x:c r="B123" s="290"/>
      <x:c r="C123" s="290"/>
      <x:c r="D123" s="290"/>
      <x:c r="E123" s="290"/>
    </x:row>
    <x:row xmlns:x="http://schemas.openxmlformats.org/spreadsheetml/2006/main" r="124" ht="44" customHeight="1">
      <x:c r="A124" s="290" t="str">
        <x:v>[3] SAP Ariba onboarding: Current Generation includes initial deployment assistance. Next Generation is self-service with customer / partner deployment. Enterprise Support is included, not blanket project hypercare. https://support.sap.com/en/product/onboarding-resource-center/ariba.html</x:v>
      </x:c>
      <x:c r="B124" s="290"/>
      <x:c r="C124" s="290"/>
      <x:c r="D124" s="290"/>
      <x:c r="E124" s="290"/>
    </x:row>
    <x:row xmlns:x="http://schemas.openxmlformats.org/spreadsheetml/2006/main" r="125" ht="42" customHeight="1">
      <x:c r="A125" s="290" t="str">
        <x:v>Rate-card limits: Infosys range covers only development / implementation and delivery / operation roles, not its full card. Both vendors specify weekdays excluding holidays. JAGGAER support / maintenance is included in access fees. Separate consulting services are scoped separately.</x:v>
      </x:c>
      <x:c r="B125" s="290"/>
      <x:c r="C125" s="290"/>
      <x:c r="D125" s="290"/>
      <x:c r="E125" s="290"/>
    </x:row>
  </sheetData>
  <mergeCells count="16">
    <mergeCell ref="A1:E1"/>
    <mergeCell ref="A2:E3"/>
    <mergeCell ref="A82:E84"/>
    <mergeCell ref="A86:E88"/>
    <x:mergeCell xmlns:x="http://schemas.openxmlformats.org/spreadsheetml/2006/main" ref="A96:E96"/>
    <x:mergeCell xmlns:x="http://schemas.openxmlformats.org/spreadsheetml/2006/main" ref="A97:E97"/>
    <x:mergeCell xmlns:x="http://schemas.openxmlformats.org/spreadsheetml/2006/main" ref="A109:E109"/>
    <x:mergeCell xmlns:x="http://schemas.openxmlformats.org/spreadsheetml/2006/main" ref="A110:E110"/>
    <x:mergeCell xmlns:x="http://schemas.openxmlformats.org/spreadsheetml/2006/main" ref="A111:E111"/>
    <x:mergeCell xmlns:x="http://schemas.openxmlformats.org/spreadsheetml/2006/main" ref="A112:E112"/>
    <x:mergeCell xmlns:x="http://schemas.openxmlformats.org/spreadsheetml/2006/main" ref="A114:E114"/>
    <x:mergeCell xmlns:x="http://schemas.openxmlformats.org/spreadsheetml/2006/main" ref="A121:E121"/>
    <x:mergeCell xmlns:x="http://schemas.openxmlformats.org/spreadsheetml/2006/main" ref="A122:E122"/>
    <x:mergeCell xmlns:x="http://schemas.openxmlformats.org/spreadsheetml/2006/main" ref="A123:E123"/>
    <x:mergeCell xmlns:x="http://schemas.openxmlformats.org/spreadsheetml/2006/main" ref="A124:E124"/>
    <x:mergeCell xmlns:x="http://schemas.openxmlformats.org/spreadsheetml/2006/main" ref="A125:E1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Pricing Summary</vt:lpstr>
      <vt:lpstr>Price Proposal</vt:lpstr>
      <vt:lpstr>Payment Milestones</vt:lpstr>
      <vt:lpstr>Pricing Discussion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Navneet Singh Narula</dc:creator>
  <cp:lastModifiedBy>Navneet Singh Narula</cp:lastModifiedBy>
  <dcterms:created xsi:type="dcterms:W3CDTF">2026-10-28T00:38:20Z</dcterms:created>
  <dcterms:modified xsi:type="dcterms:W3CDTF">2026-10-28T00:38:20Z</dcterms:modified>
</cp:coreProperties>
</file>